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055" windowHeight="8205"/>
  </bookViews>
  <sheets>
    <sheet name="Calcolo" sheetId="1" r:id="rId1"/>
    <sheet name="Tabelle" sheetId="2" r:id="rId2"/>
    <sheet name="Foglio3" sheetId="3" r:id="rId3"/>
  </sheets>
  <definedNames>
    <definedName name="a">Calcolo!$D$10</definedName>
    <definedName name="b">Calcolo!$F$10</definedName>
    <definedName name="hc">Calcolo!$D$12</definedName>
    <definedName name="s">Calcolo!$D$13</definedName>
  </definedNames>
  <calcPr calcId="124519"/>
</workbook>
</file>

<file path=xl/calcChain.xml><?xml version="1.0" encoding="utf-8"?>
<calcChain xmlns="http://schemas.openxmlformats.org/spreadsheetml/2006/main">
  <c r="C36" i="1"/>
  <c r="G11" i="2"/>
  <c r="G12"/>
  <c r="G13"/>
  <c r="G14"/>
  <c r="G15"/>
  <c r="G16"/>
  <c r="G17"/>
  <c r="G18"/>
  <c r="G10"/>
  <c r="AA42" i="1"/>
  <c r="E5"/>
  <c r="E6"/>
  <c r="S15" l="1"/>
  <c r="C38" s="1"/>
  <c r="S8"/>
  <c r="C37" s="1"/>
  <c r="D12"/>
  <c r="D19" s="1"/>
  <c r="U25" s="1"/>
  <c r="D22" i="2"/>
  <c r="D23"/>
  <c r="D24"/>
  <c r="D25"/>
  <c r="D26"/>
  <c r="D27"/>
  <c r="D28"/>
  <c r="D29"/>
  <c r="D30"/>
  <c r="D21"/>
  <c r="C39" i="1" l="1"/>
  <c r="O24"/>
  <c r="D22"/>
  <c r="D27" s="1"/>
  <c r="D14"/>
  <c r="O9" s="1"/>
  <c r="D17" i="3"/>
  <c r="D18" s="1"/>
  <c r="O10" i="1" l="1"/>
  <c r="O11" s="1"/>
  <c r="O17"/>
  <c r="O16"/>
  <c r="U24"/>
  <c r="V24" s="1"/>
  <c r="AB34"/>
  <c r="AB36" s="1"/>
  <c r="D29"/>
  <c r="D21" i="3"/>
  <c r="D32" i="1" s="1"/>
  <c r="D20" i="3"/>
  <c r="D31" i="1" s="1"/>
  <c r="D19" i="3"/>
  <c r="D30" i="1" s="1"/>
  <c r="J30" s="1"/>
  <c r="J29" l="1"/>
  <c r="O23" s="1"/>
  <c r="O22"/>
  <c r="O18"/>
  <c r="S18" s="1"/>
  <c r="S11"/>
  <c r="U15"/>
  <c r="AB38"/>
  <c r="AB39"/>
  <c r="AB37"/>
  <c r="U8" l="1"/>
  <c r="O27" l="1"/>
  <c r="O32" s="1"/>
  <c r="S32" s="1"/>
  <c r="U32" s="1"/>
  <c r="U23"/>
</calcChain>
</file>

<file path=xl/sharedStrings.xml><?xml version="1.0" encoding="utf-8"?>
<sst xmlns="http://schemas.openxmlformats.org/spreadsheetml/2006/main" count="191" uniqueCount="141">
  <si>
    <t>a x b =</t>
  </si>
  <si>
    <t>x</t>
  </si>
  <si>
    <t>m</t>
  </si>
  <si>
    <t>DATI GEOMETRICI</t>
  </si>
  <si>
    <t>hc =</t>
  </si>
  <si>
    <t>s =</t>
  </si>
  <si>
    <t>mm</t>
  </si>
  <si>
    <t>H =</t>
  </si>
  <si>
    <t>ANALISI DEI CARICHI</t>
  </si>
  <si>
    <r>
      <t>kN/m</t>
    </r>
    <r>
      <rPr>
        <vertAlign val="superscript"/>
        <sz val="11"/>
        <color theme="1"/>
        <rFont val="Calibri"/>
        <family val="2"/>
        <scheme val="minor"/>
      </rPr>
      <t>2</t>
    </r>
  </si>
  <si>
    <t>STATO LIMITE ULTIMO</t>
  </si>
  <si>
    <t>Combinazione di carico</t>
  </si>
  <si>
    <t>γ</t>
  </si>
  <si>
    <t>ws</t>
  </si>
  <si>
    <r>
      <rPr>
        <sz val="11"/>
        <color theme="1"/>
        <rFont val="Calibri"/>
        <family val="2"/>
      </rPr>
      <t>α(</t>
    </r>
    <r>
      <rPr>
        <sz val="11"/>
        <color theme="1"/>
        <rFont val="Calibri"/>
        <family val="2"/>
        <scheme val="minor"/>
      </rPr>
      <t>Mx)</t>
    </r>
  </si>
  <si>
    <r>
      <rPr>
        <sz val="11"/>
        <color theme="1"/>
        <rFont val="Calibri"/>
        <family val="2"/>
      </rPr>
      <t>β(</t>
    </r>
    <r>
      <rPr>
        <sz val="11"/>
        <color theme="1"/>
        <rFont val="Calibri"/>
        <family val="2"/>
        <scheme val="minor"/>
      </rPr>
      <t>My)</t>
    </r>
  </si>
  <si>
    <t>δ(Tx)</t>
  </si>
  <si>
    <r>
      <rPr>
        <sz val="11"/>
        <color theme="1"/>
        <rFont val="Calibri"/>
        <family val="2"/>
      </rPr>
      <t>ε(</t>
    </r>
    <r>
      <rPr>
        <sz val="11"/>
        <color theme="1"/>
        <rFont val="Calibri"/>
        <family val="2"/>
        <scheme val="minor"/>
      </rPr>
      <t>Ty)</t>
    </r>
  </si>
  <si>
    <t>α</t>
  </si>
  <si>
    <t>β</t>
  </si>
  <si>
    <t>δ</t>
  </si>
  <si>
    <t>ε</t>
  </si>
  <si>
    <t>Momento flettente x</t>
  </si>
  <si>
    <t>Momento flettente y</t>
  </si>
  <si>
    <t>Mx =</t>
  </si>
  <si>
    <t>My =</t>
  </si>
  <si>
    <t>kNm/m</t>
  </si>
  <si>
    <t>Taglio dir x</t>
  </si>
  <si>
    <t>Taglio dir y</t>
  </si>
  <si>
    <t>Tx =</t>
  </si>
  <si>
    <t>Ty =</t>
  </si>
  <si>
    <t>kN/m</t>
  </si>
  <si>
    <t>STATO LIMITE DI ESERCIZIO</t>
  </si>
  <si>
    <t>→</t>
  </si>
  <si>
    <t>As,min =</t>
  </si>
  <si>
    <t>Dimensioni in pianta campo di solaio</t>
  </si>
  <si>
    <t>bw =</t>
  </si>
  <si>
    <t>i =</t>
  </si>
  <si>
    <r>
      <t>f</t>
    </r>
    <r>
      <rPr>
        <vertAlign val="subscript"/>
        <sz val="10"/>
        <color theme="1"/>
        <rFont val="Arial"/>
        <family val="2"/>
      </rPr>
      <t>dE</t>
    </r>
    <r>
      <rPr>
        <sz val="10"/>
        <color theme="1"/>
        <rFont val="Arial"/>
        <family val="2"/>
      </rPr>
      <t xml:space="preserve"> =</t>
    </r>
  </si>
  <si>
    <t>RETI E.S.</t>
  </si>
  <si>
    <t>φ</t>
  </si>
  <si>
    <t>ix (mm)</t>
  </si>
  <si>
    <t>iy (mm)</t>
  </si>
  <si>
    <t>φ5-100X100</t>
  </si>
  <si>
    <t>φ5-150X150</t>
  </si>
  <si>
    <t>φ5-200X200</t>
  </si>
  <si>
    <t>φ6-100X100</t>
  </si>
  <si>
    <t>φ6-150X150</t>
  </si>
  <si>
    <t>φ6-200X200</t>
  </si>
  <si>
    <t>φ8-100X100</t>
  </si>
  <si>
    <t>φ8-150X150</t>
  </si>
  <si>
    <t>φ8-200X200</t>
  </si>
  <si>
    <t>As,x</t>
  </si>
  <si>
    <t>As,y</t>
  </si>
  <si>
    <t>Φ</t>
  </si>
  <si>
    <t>=</t>
  </si>
  <si>
    <t>+</t>
  </si>
  <si>
    <t>MATERIALI</t>
  </si>
  <si>
    <t>B450C</t>
  </si>
  <si>
    <t>C</t>
  </si>
  <si>
    <t>12/15</t>
  </si>
  <si>
    <t>16/20</t>
  </si>
  <si>
    <t>20/25</t>
  </si>
  <si>
    <t>25/30</t>
  </si>
  <si>
    <t>28/35</t>
  </si>
  <si>
    <t>30/37</t>
  </si>
  <si>
    <t>32/40</t>
  </si>
  <si>
    <t>35/45</t>
  </si>
  <si>
    <t>40/50</t>
  </si>
  <si>
    <t>45/55</t>
  </si>
  <si>
    <t>50/60</t>
  </si>
  <si>
    <t>60/75</t>
  </si>
  <si>
    <r>
      <t>ρ</t>
    </r>
    <r>
      <rPr>
        <vertAlign val="subscript"/>
        <sz val="11"/>
        <color theme="1"/>
        <rFont val="Calibri"/>
        <family val="2"/>
      </rPr>
      <t>0</t>
    </r>
  </si>
  <si>
    <t>ρ</t>
  </si>
  <si>
    <t>z</t>
  </si>
  <si>
    <t>A's,prov</t>
  </si>
  <si>
    <t>ρ'</t>
  </si>
  <si>
    <t>Coefficiente per il sovradimensionamento dell'armatura</t>
  </si>
  <si>
    <t>Fattore correttivo per luci superiori ai 7 m</t>
  </si>
  <si>
    <t>k =</t>
  </si>
  <si>
    <t xml:space="preserve">l/d = </t>
  </si>
  <si>
    <t>lmax =</t>
  </si>
  <si>
    <t xml:space="preserve">c = </t>
  </si>
  <si>
    <t>Ac =</t>
  </si>
  <si>
    <t>Area sezione trasversale</t>
  </si>
  <si>
    <t>As,req =</t>
  </si>
  <si>
    <t>As,prov =</t>
  </si>
  <si>
    <t xml:space="preserve">VERIFICA SPESSORE </t>
  </si>
  <si>
    <t>INCIDENZA ARMATURE</t>
  </si>
  <si>
    <t>Calcestruzzo</t>
  </si>
  <si>
    <t>Acciaio da ca</t>
  </si>
  <si>
    <t>Altezza cassero</t>
  </si>
  <si>
    <t>Spessore soletta</t>
  </si>
  <si>
    <t>Altezza totale</t>
  </si>
  <si>
    <t>Baricentro armatura tesa dal bordo inferiore</t>
  </si>
  <si>
    <t>Larghezza travetti</t>
  </si>
  <si>
    <t>Interasse tra i travetti</t>
  </si>
  <si>
    <t>Peso proprio solaio</t>
  </si>
  <si>
    <t xml:space="preserve">Carichi permanenti </t>
  </si>
  <si>
    <t>Carichi accidentali</t>
  </si>
  <si>
    <t>Rete e.s. nella soletta</t>
  </si>
  <si>
    <t>Momento flettente di calcolo SLU</t>
  </si>
  <si>
    <t>Armatura tesa minima richiesta</t>
  </si>
  <si>
    <t>Armatura tesa di progetto</t>
  </si>
  <si>
    <t>Armatura compressa di progetto</t>
  </si>
  <si>
    <t>Coefficiente che tiene conto della presenza di nervature</t>
  </si>
  <si>
    <t>Fattore correttivo per la tipologia di supporto</t>
  </si>
  <si>
    <t>Rapporto limite luce/altezza utile</t>
  </si>
  <si>
    <t>Verifica a taglio</t>
  </si>
  <si>
    <t>ρl =</t>
  </si>
  <si>
    <t>Armatura inferiore dir.x per travetto</t>
  </si>
  <si>
    <t>Armatura inferiore dir.y per travetto</t>
  </si>
  <si>
    <t>Rete e.s.</t>
  </si>
  <si>
    <t>P</t>
  </si>
  <si>
    <t>kg</t>
  </si>
  <si>
    <t>armatura direzione x</t>
  </si>
  <si>
    <t>armatura direzione y</t>
  </si>
  <si>
    <t>totale</t>
  </si>
  <si>
    <r>
      <t>kg/m</t>
    </r>
    <r>
      <rPr>
        <vertAlign val="superscript"/>
        <sz val="11"/>
        <color theme="1"/>
        <rFont val="Calibri"/>
        <family val="2"/>
        <scheme val="minor"/>
      </rPr>
      <t>2</t>
    </r>
  </si>
  <si>
    <t>INPUTAZIONE ARMATURE E VERIFICHE</t>
  </si>
  <si>
    <r>
      <t>f</t>
    </r>
    <r>
      <rPr>
        <vertAlign val="subscript"/>
        <sz val="10"/>
        <color theme="1"/>
        <rFont val="Arial Narrow"/>
        <family val="2"/>
      </rPr>
      <t>cd</t>
    </r>
    <r>
      <rPr>
        <sz val="10"/>
        <color theme="1"/>
        <rFont val="Arial Narrow"/>
        <family val="2"/>
      </rPr>
      <t xml:space="preserve"> =</t>
    </r>
  </si>
  <si>
    <r>
      <t>N/mm</t>
    </r>
    <r>
      <rPr>
        <vertAlign val="superscript"/>
        <sz val="10"/>
        <color theme="1"/>
        <rFont val="Arial Narrow"/>
        <family val="2"/>
      </rPr>
      <t>2</t>
    </r>
  </si>
  <si>
    <r>
      <t>f</t>
    </r>
    <r>
      <rPr>
        <vertAlign val="subscript"/>
        <sz val="10"/>
        <color theme="1"/>
        <rFont val="Arial Narrow"/>
        <family val="2"/>
      </rPr>
      <t>yd</t>
    </r>
    <r>
      <rPr>
        <sz val="10"/>
        <color theme="1"/>
        <rFont val="Arial Narrow"/>
        <family val="2"/>
      </rPr>
      <t xml:space="preserve"> =</t>
    </r>
  </si>
  <si>
    <r>
      <t>mm</t>
    </r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/m</t>
    </r>
  </si>
  <si>
    <r>
      <t>G</t>
    </r>
    <r>
      <rPr>
        <vertAlign val="subscript"/>
        <sz val="10"/>
        <color theme="1"/>
        <rFont val="Arial Narrow"/>
        <family val="2"/>
      </rPr>
      <t xml:space="preserve">k1 </t>
    </r>
    <r>
      <rPr>
        <sz val="10"/>
        <color theme="1"/>
        <rFont val="Arial Narrow"/>
        <family val="2"/>
      </rPr>
      <t>=</t>
    </r>
  </si>
  <si>
    <r>
      <t>kN/m</t>
    </r>
    <r>
      <rPr>
        <vertAlign val="superscript"/>
        <sz val="10"/>
        <color theme="1"/>
        <rFont val="Arial Narrow"/>
        <family val="2"/>
      </rPr>
      <t>2</t>
    </r>
  </si>
  <si>
    <r>
      <t>G</t>
    </r>
    <r>
      <rPr>
        <vertAlign val="subscript"/>
        <sz val="10"/>
        <color theme="1"/>
        <rFont val="Arial Narrow"/>
        <family val="2"/>
      </rPr>
      <t xml:space="preserve">k2 </t>
    </r>
    <r>
      <rPr>
        <sz val="10"/>
        <color theme="1"/>
        <rFont val="Arial Narrow"/>
        <family val="2"/>
      </rPr>
      <t>=</t>
    </r>
  </si>
  <si>
    <r>
      <t>Q</t>
    </r>
    <r>
      <rPr>
        <vertAlign val="subscript"/>
        <sz val="10"/>
        <color theme="1"/>
        <rFont val="Arial Narrow"/>
        <family val="2"/>
      </rPr>
      <t xml:space="preserve">k </t>
    </r>
    <r>
      <rPr>
        <sz val="10"/>
        <color theme="1"/>
        <rFont val="Arial Narrow"/>
        <family val="2"/>
      </rPr>
      <t>=</t>
    </r>
  </si>
  <si>
    <r>
      <t>f</t>
    </r>
    <r>
      <rPr>
        <vertAlign val="subscript"/>
        <sz val="10"/>
        <color theme="1"/>
        <rFont val="Arial Narrow"/>
        <family val="2"/>
      </rPr>
      <t>du</t>
    </r>
    <r>
      <rPr>
        <sz val="10"/>
        <color theme="1"/>
        <rFont val="Arial Narrow"/>
        <family val="2"/>
      </rPr>
      <t xml:space="preserve"> =</t>
    </r>
  </si>
  <si>
    <r>
      <t>V</t>
    </r>
    <r>
      <rPr>
        <vertAlign val="subscript"/>
        <sz val="10"/>
        <color theme="1"/>
        <rFont val="Arial Narrow"/>
        <family val="2"/>
      </rPr>
      <t>rd</t>
    </r>
    <r>
      <rPr>
        <sz val="10"/>
        <color theme="1"/>
        <rFont val="Arial Narrow"/>
        <family val="2"/>
      </rPr>
      <t xml:space="preserve"> =</t>
    </r>
  </si>
  <si>
    <r>
      <t>M</t>
    </r>
    <r>
      <rPr>
        <vertAlign val="subscript"/>
        <sz val="10"/>
        <color theme="1"/>
        <rFont val="Arial Narrow"/>
        <family val="2"/>
      </rPr>
      <t xml:space="preserve">ed,u </t>
    </r>
    <r>
      <rPr>
        <sz val="10"/>
        <color theme="1"/>
        <rFont val="Arial Narrow"/>
        <family val="2"/>
      </rPr>
      <t>=</t>
    </r>
  </si>
  <si>
    <r>
      <t>F</t>
    </r>
    <r>
      <rPr>
        <vertAlign val="subscript"/>
        <sz val="10"/>
        <color theme="1"/>
        <rFont val="Arial Narrow"/>
        <family val="2"/>
      </rPr>
      <t xml:space="preserve">1 </t>
    </r>
    <r>
      <rPr>
        <sz val="10"/>
        <color theme="1"/>
        <rFont val="Arial Narrow"/>
        <family val="2"/>
      </rPr>
      <t xml:space="preserve">= </t>
    </r>
  </si>
  <si>
    <r>
      <t>F</t>
    </r>
    <r>
      <rPr>
        <vertAlign val="subscript"/>
        <sz val="10"/>
        <color theme="1"/>
        <rFont val="Arial Narrow"/>
        <family val="2"/>
      </rPr>
      <t xml:space="preserve">2 </t>
    </r>
    <r>
      <rPr>
        <sz val="10"/>
        <color theme="1"/>
        <rFont val="Arial Narrow"/>
        <family val="2"/>
      </rPr>
      <t xml:space="preserve">= </t>
    </r>
  </si>
  <si>
    <r>
      <t>F</t>
    </r>
    <r>
      <rPr>
        <vertAlign val="subscript"/>
        <sz val="10"/>
        <color theme="1"/>
        <rFont val="Arial Narrow"/>
        <family val="2"/>
      </rPr>
      <t xml:space="preserve">3 </t>
    </r>
    <r>
      <rPr>
        <sz val="10"/>
        <color theme="1"/>
        <rFont val="Arial Narrow"/>
        <family val="2"/>
      </rPr>
      <t xml:space="preserve">= </t>
    </r>
  </si>
  <si>
    <t>massima (x)</t>
  </si>
  <si>
    <t>minima (y)</t>
  </si>
  <si>
    <r>
      <t>mm</t>
    </r>
    <r>
      <rPr>
        <vertAlign val="superscript"/>
        <sz val="10"/>
        <color theme="1"/>
        <rFont val="Arial Narrow"/>
        <family val="2"/>
      </rPr>
      <t>2</t>
    </r>
  </si>
  <si>
    <t xml:space="preserve">Momento flettente x </t>
  </si>
  <si>
    <t xml:space="preserve">Momento flettente y </t>
  </si>
  <si>
    <t>nota: il foglio è strutturato in modo da analizzare una campata singola di solaio schematizzanzola, a favore di sicurezza, come appoggiata ai bordi.</t>
  </si>
  <si>
    <t xml:space="preserve">Si tratta di un predimensionamento, in fase esecutiva dev'essere effettuato effettuato il calcolo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</si>
</sst>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u/>
      <sz val="10"/>
      <color theme="1"/>
      <name val="Arial"/>
      <family val="2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b/>
      <sz val="10"/>
      <name val="Arial"/>
      <family val="2"/>
    </font>
    <font>
      <vertAlign val="subscript"/>
      <sz val="11"/>
      <color theme="1"/>
      <name val="Calibri"/>
      <family val="2"/>
    </font>
    <font>
      <b/>
      <i/>
      <u/>
      <sz val="10"/>
      <color theme="1"/>
      <name val="Arial Narrow"/>
      <family val="2"/>
    </font>
    <font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b/>
      <sz val="10"/>
      <color rgb="FFFF0000"/>
      <name val="Arial Narrow"/>
      <family val="2"/>
    </font>
    <font>
      <i/>
      <u/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FF3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2" xfId="0" applyBorder="1"/>
    <xf numFmtId="0" fontId="7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49" fontId="7" fillId="0" borderId="5" xfId="0" applyNumberFormat="1" applyFont="1" applyBorder="1" applyAlignment="1">
      <alignment horizontal="center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0" fillId="0" borderId="6" xfId="0" applyFill="1" applyBorder="1"/>
    <xf numFmtId="0" fontId="0" fillId="0" borderId="5" xfId="0" applyFill="1" applyBorder="1"/>
    <xf numFmtId="2" fontId="0" fillId="0" borderId="0" xfId="0" applyNumberFormat="1" applyAlignment="1">
      <alignment horizontal="center"/>
    </xf>
    <xf numFmtId="0" fontId="0" fillId="2" borderId="0" xfId="0" applyFill="1"/>
    <xf numFmtId="0" fontId="5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Border="1" applyAlignment="1">
      <alignment horizontal="center"/>
    </xf>
    <xf numFmtId="0" fontId="9" fillId="3" borderId="9" xfId="0" applyFont="1" applyFill="1" applyBorder="1"/>
    <xf numFmtId="0" fontId="10" fillId="3" borderId="10" xfId="0" applyFont="1" applyFill="1" applyBorder="1"/>
    <xf numFmtId="0" fontId="10" fillId="3" borderId="11" xfId="0" applyFont="1" applyFill="1" applyBorder="1"/>
    <xf numFmtId="0" fontId="10" fillId="4" borderId="0" xfId="0" applyFont="1" applyFill="1"/>
    <xf numFmtId="0" fontId="10" fillId="3" borderId="12" xfId="0" applyFont="1" applyFill="1" applyBorder="1"/>
    <xf numFmtId="0" fontId="10" fillId="3" borderId="0" xfId="0" applyFont="1" applyFill="1" applyBorder="1"/>
    <xf numFmtId="0" fontId="10" fillId="3" borderId="8" xfId="0" applyFont="1" applyFill="1" applyBorder="1" applyAlignment="1">
      <alignment horizontal="center"/>
    </xf>
    <xf numFmtId="0" fontId="10" fillId="3" borderId="8" xfId="0" applyFont="1" applyFill="1" applyBorder="1"/>
    <xf numFmtId="0" fontId="10" fillId="3" borderId="13" xfId="0" applyFont="1" applyFill="1" applyBorder="1"/>
    <xf numFmtId="0" fontId="10" fillId="3" borderId="14" xfId="0" applyFont="1" applyFill="1" applyBorder="1"/>
    <xf numFmtId="0" fontId="10" fillId="3" borderId="15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4" fillId="3" borderId="10" xfId="0" applyFont="1" applyFill="1" applyBorder="1"/>
    <xf numFmtId="0" fontId="14" fillId="3" borderId="11" xfId="0" applyFont="1" applyFill="1" applyBorder="1"/>
    <xf numFmtId="0" fontId="15" fillId="3" borderId="7" xfId="0" applyFont="1" applyFill="1" applyBorder="1" applyAlignment="1">
      <alignment horizontal="center"/>
    </xf>
    <xf numFmtId="2" fontId="13" fillId="3" borderId="7" xfId="0" applyNumberFormat="1" applyFont="1" applyFill="1" applyBorder="1" applyAlignment="1">
      <alignment horizontal="center"/>
    </xf>
    <xf numFmtId="0" fontId="14" fillId="4" borderId="0" xfId="0" applyFont="1" applyFill="1"/>
    <xf numFmtId="0" fontId="10" fillId="3" borderId="16" xfId="0" applyFont="1" applyFill="1" applyBorder="1"/>
    <xf numFmtId="0" fontId="10" fillId="3" borderId="1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5" fillId="3" borderId="12" xfId="0" applyFont="1" applyFill="1" applyBorder="1"/>
    <xf numFmtId="0" fontId="15" fillId="3" borderId="0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0" fillId="3" borderId="15" xfId="0" applyFont="1" applyFill="1" applyBorder="1"/>
    <xf numFmtId="0" fontId="10" fillId="3" borderId="14" xfId="0" applyFont="1" applyFill="1" applyBorder="1" applyAlignment="1">
      <alignment horizontal="center"/>
    </xf>
    <xf numFmtId="0" fontId="10" fillId="4" borderId="0" xfId="0" applyFont="1" applyFill="1" applyBorder="1"/>
    <xf numFmtId="1" fontId="10" fillId="3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4" borderId="14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/>
    </xf>
    <xf numFmtId="2" fontId="10" fillId="3" borderId="0" xfId="0" applyNumberFormat="1" applyFont="1" applyFill="1" applyBorder="1" applyAlignment="1">
      <alignment horizontal="center"/>
    </xf>
    <xf numFmtId="164" fontId="10" fillId="3" borderId="14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/>
    </xf>
    <xf numFmtId="2" fontId="10" fillId="3" borderId="0" xfId="0" applyNumberFormat="1" applyFont="1" applyFill="1" applyBorder="1" applyAlignment="1">
      <alignment horizontal="center"/>
    </xf>
    <xf numFmtId="2" fontId="10" fillId="3" borderId="14" xfId="0" applyNumberFormat="1" applyFont="1" applyFill="1" applyBorder="1" applyAlignment="1">
      <alignment horizontal="center"/>
    </xf>
    <xf numFmtId="2" fontId="13" fillId="3" borderId="18" xfId="0" applyNumberFormat="1" applyFont="1" applyFill="1" applyBorder="1" applyAlignment="1">
      <alignment horizontal="center"/>
    </xf>
    <xf numFmtId="2" fontId="13" fillId="3" borderId="19" xfId="0" applyNumberFormat="1" applyFont="1" applyFill="1" applyBorder="1" applyAlignment="1">
      <alignment horizontal="center"/>
    </xf>
    <xf numFmtId="2" fontId="13" fillId="3" borderId="20" xfId="0" applyNumberFormat="1" applyFont="1" applyFill="1" applyBorder="1" applyAlignment="1">
      <alignment horizontal="center"/>
    </xf>
    <xf numFmtId="1" fontId="10" fillId="3" borderId="0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1" fontId="10" fillId="3" borderId="14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1" fillId="2" borderId="0" xfId="0" applyFont="1" applyFill="1"/>
  </cellXfs>
  <cellStyles count="1">
    <cellStyle name="Normale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33"/>
      <color rgb="FF99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27694138232720938"/>
                  <c:y val="-0.54914625255176464"/>
                </c:manualLayout>
              </c:layout>
              <c:numFmt formatCode="General" sourceLinked="0"/>
            </c:trendlineLbl>
          </c:trendline>
          <c:xVal>
            <c:numRef>
              <c:f>Foglio3!$C$4:$C$14</c:f>
              <c:numCache>
                <c:formatCode>General</c:formatCode>
                <c:ptCount val="1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</c:numCache>
            </c:numRef>
          </c:xVal>
          <c:yVal>
            <c:numRef>
              <c:f>Foglio3!$D$4:$D$14</c:f>
              <c:numCache>
                <c:formatCode>General</c:formatCode>
                <c:ptCount val="11"/>
                <c:pt idx="0">
                  <c:v>4.5699999999999998E-2</c:v>
                </c:pt>
                <c:pt idx="1">
                  <c:v>3.73E-2</c:v>
                </c:pt>
                <c:pt idx="2">
                  <c:v>3.0599999999999999E-2</c:v>
                </c:pt>
                <c:pt idx="3">
                  <c:v>2.5100000000000001E-2</c:v>
                </c:pt>
                <c:pt idx="4">
                  <c:v>2.06E-2</c:v>
                </c:pt>
                <c:pt idx="5">
                  <c:v>1.7100000000000001E-2</c:v>
                </c:pt>
                <c:pt idx="6">
                  <c:v>1.4200000000000001E-2</c:v>
                </c:pt>
                <c:pt idx="7">
                  <c:v>1.1900000000000001E-2</c:v>
                </c:pt>
                <c:pt idx="8">
                  <c:v>0.01</c:v>
                </c:pt>
                <c:pt idx="9">
                  <c:v>8.3999999999999995E-3</c:v>
                </c:pt>
                <c:pt idx="10">
                  <c:v>7.1000000000000004E-3</c:v>
                </c:pt>
              </c:numCache>
            </c:numRef>
          </c:yVal>
          <c:smooth val="1"/>
        </c:ser>
        <c:axId val="68896640"/>
        <c:axId val="179416448"/>
      </c:scatterChart>
      <c:valAx>
        <c:axId val="68896640"/>
        <c:scaling>
          <c:orientation val="minMax"/>
        </c:scaling>
        <c:axPos val="b"/>
        <c:numFmt formatCode="General" sourceLinked="1"/>
        <c:tickLblPos val="nextTo"/>
        <c:crossAx val="179416448"/>
        <c:crosses val="autoZero"/>
        <c:crossBetween val="midCat"/>
      </c:valAx>
      <c:valAx>
        <c:axId val="179416448"/>
        <c:scaling>
          <c:orientation val="minMax"/>
        </c:scaling>
        <c:axPos val="l"/>
        <c:majorGridlines/>
        <c:numFmt formatCode="General" sourceLinked="1"/>
        <c:tickLblPos val="nextTo"/>
        <c:crossAx val="688966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27694138232720938"/>
                  <c:y val="-0.54914625255176464"/>
                </c:manualLayout>
              </c:layout>
              <c:numFmt formatCode="General" sourceLinked="0"/>
            </c:trendlineLbl>
          </c:trendline>
          <c:xVal>
            <c:numRef>
              <c:f>Foglio3!$C$4:$C$14</c:f>
              <c:numCache>
                <c:formatCode>General</c:formatCode>
                <c:ptCount val="1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</c:numCache>
            </c:numRef>
          </c:xVal>
          <c:yVal>
            <c:numRef>
              <c:f>Foglio3!$E$4:$E$14</c:f>
              <c:numCache>
                <c:formatCode>General</c:formatCode>
                <c:ptCount val="11"/>
                <c:pt idx="0">
                  <c:v>4.5999999999999999E-2</c:v>
                </c:pt>
                <c:pt idx="1">
                  <c:v>3.8899999999999997E-2</c:v>
                </c:pt>
                <c:pt idx="2">
                  <c:v>3.3000000000000002E-2</c:v>
                </c:pt>
                <c:pt idx="3">
                  <c:v>2.81E-2</c:v>
                </c:pt>
                <c:pt idx="4">
                  <c:v>2.4E-2</c:v>
                </c:pt>
                <c:pt idx="5">
                  <c:v>2.0500000000000001E-2</c:v>
                </c:pt>
                <c:pt idx="6">
                  <c:v>1.77E-2</c:v>
                </c:pt>
                <c:pt idx="7">
                  <c:v>1.54E-2</c:v>
                </c:pt>
                <c:pt idx="8">
                  <c:v>1.34E-2</c:v>
                </c:pt>
                <c:pt idx="9">
                  <c:v>1.18E-2</c:v>
                </c:pt>
                <c:pt idx="10">
                  <c:v>1.04E-2</c:v>
                </c:pt>
              </c:numCache>
            </c:numRef>
          </c:yVal>
          <c:smooth val="1"/>
        </c:ser>
        <c:axId val="104243584"/>
        <c:axId val="104245120"/>
      </c:scatterChart>
      <c:valAx>
        <c:axId val="104243584"/>
        <c:scaling>
          <c:orientation val="minMax"/>
        </c:scaling>
        <c:axPos val="b"/>
        <c:numFmt formatCode="General" sourceLinked="1"/>
        <c:tickLblPos val="nextTo"/>
        <c:crossAx val="104245120"/>
        <c:crosses val="autoZero"/>
        <c:crossBetween val="midCat"/>
      </c:valAx>
      <c:valAx>
        <c:axId val="104245120"/>
        <c:scaling>
          <c:orientation val="minMax"/>
        </c:scaling>
        <c:axPos val="l"/>
        <c:majorGridlines/>
        <c:numFmt formatCode="General" sourceLinked="1"/>
        <c:tickLblPos val="nextTo"/>
        <c:crossAx val="10424358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27694138232720938"/>
                  <c:y val="-0.54914625255176464"/>
                </c:manualLayout>
              </c:layout>
              <c:numFmt formatCode="General" sourceLinked="0"/>
            </c:trendlineLbl>
          </c:trendline>
          <c:xVal>
            <c:numRef>
              <c:f>Foglio3!$C$4:$C$14</c:f>
              <c:numCache>
                <c:formatCode>General</c:formatCode>
                <c:ptCount val="1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</c:numCache>
            </c:numRef>
          </c:xVal>
          <c:yVal>
            <c:numRef>
              <c:f>Foglio3!$F$4:$F$14</c:f>
              <c:numCache>
                <c:formatCode>General</c:formatCode>
                <c:ptCount val="11"/>
                <c:pt idx="0">
                  <c:v>4.5999999999999999E-2</c:v>
                </c:pt>
                <c:pt idx="1">
                  <c:v>5.3499999999999999E-2</c:v>
                </c:pt>
                <c:pt idx="2">
                  <c:v>6.0900000000000003E-2</c:v>
                </c:pt>
                <c:pt idx="3">
                  <c:v>6.7699999999999996E-2</c:v>
                </c:pt>
                <c:pt idx="4">
                  <c:v>7.3899999999999993E-2</c:v>
                </c:pt>
                <c:pt idx="5">
                  <c:v>7.9600000000000004E-2</c:v>
                </c:pt>
                <c:pt idx="6">
                  <c:v>8.48E-2</c:v>
                </c:pt>
                <c:pt idx="7">
                  <c:v>8.9499999999999996E-2</c:v>
                </c:pt>
                <c:pt idx="8">
                  <c:v>9.3700000000000006E-2</c:v>
                </c:pt>
                <c:pt idx="9">
                  <c:v>9.7500000000000003E-2</c:v>
                </c:pt>
                <c:pt idx="10">
                  <c:v>0.1008</c:v>
                </c:pt>
              </c:numCache>
            </c:numRef>
          </c:yVal>
          <c:smooth val="1"/>
        </c:ser>
        <c:axId val="155166592"/>
        <c:axId val="155168128"/>
      </c:scatterChart>
      <c:valAx>
        <c:axId val="155166592"/>
        <c:scaling>
          <c:orientation val="minMax"/>
        </c:scaling>
        <c:axPos val="b"/>
        <c:numFmt formatCode="General" sourceLinked="1"/>
        <c:tickLblPos val="nextTo"/>
        <c:crossAx val="155168128"/>
        <c:crosses val="autoZero"/>
        <c:crossBetween val="midCat"/>
      </c:valAx>
      <c:valAx>
        <c:axId val="155168128"/>
        <c:scaling>
          <c:orientation val="minMax"/>
        </c:scaling>
        <c:axPos val="l"/>
        <c:majorGridlines/>
        <c:numFmt formatCode="General" sourceLinked="1"/>
        <c:tickLblPos val="nextTo"/>
        <c:crossAx val="1551665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27694138232720938"/>
                  <c:y val="-0.54914625255176464"/>
                </c:manualLayout>
              </c:layout>
              <c:numFmt formatCode="General" sourceLinked="0"/>
            </c:trendlineLbl>
          </c:trendline>
          <c:xVal>
            <c:numRef>
              <c:f>Foglio3!$C$4:$C$14</c:f>
              <c:numCache>
                <c:formatCode>General</c:formatCode>
                <c:ptCount val="1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</c:numCache>
            </c:numRef>
          </c:xVal>
          <c:yVal>
            <c:numRef>
              <c:f>Foglio3!$G$4:$G$14</c:f>
              <c:numCache>
                <c:formatCode>General</c:formatCode>
                <c:ptCount val="11"/>
                <c:pt idx="0">
                  <c:v>0.33800000000000002</c:v>
                </c:pt>
                <c:pt idx="1">
                  <c:v>0.314</c:v>
                </c:pt>
                <c:pt idx="2">
                  <c:v>0.29299999999999998</c:v>
                </c:pt>
                <c:pt idx="3">
                  <c:v>0.27400000000000002</c:v>
                </c:pt>
                <c:pt idx="4">
                  <c:v>0.25700000000000001</c:v>
                </c:pt>
                <c:pt idx="5">
                  <c:v>0.24199999999999999</c:v>
                </c:pt>
                <c:pt idx="6">
                  <c:v>0.22800000000000001</c:v>
                </c:pt>
                <c:pt idx="7">
                  <c:v>0.215</c:v>
                </c:pt>
                <c:pt idx="8">
                  <c:v>0.20399999999999999</c:v>
                </c:pt>
                <c:pt idx="9">
                  <c:v>0.19400000000000001</c:v>
                </c:pt>
                <c:pt idx="10">
                  <c:v>0.185</c:v>
                </c:pt>
              </c:numCache>
            </c:numRef>
          </c:yVal>
          <c:smooth val="1"/>
        </c:ser>
        <c:axId val="155250048"/>
        <c:axId val="182215808"/>
      </c:scatterChart>
      <c:valAx>
        <c:axId val="155250048"/>
        <c:scaling>
          <c:orientation val="minMax"/>
        </c:scaling>
        <c:axPos val="b"/>
        <c:numFmt formatCode="General" sourceLinked="1"/>
        <c:tickLblPos val="nextTo"/>
        <c:crossAx val="182215808"/>
        <c:crosses val="autoZero"/>
        <c:crossBetween val="midCat"/>
      </c:valAx>
      <c:valAx>
        <c:axId val="182215808"/>
        <c:scaling>
          <c:orientation val="minMax"/>
        </c:scaling>
        <c:axPos val="l"/>
        <c:majorGridlines/>
        <c:numFmt formatCode="General" sourceLinked="1"/>
        <c:tickLblPos val="nextTo"/>
        <c:crossAx val="15525004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0558573928258981"/>
          <c:y val="0.10695610965296004"/>
          <c:w val="0.6038587051618548"/>
          <c:h val="0.7426695100612426"/>
        </c:manualLayout>
      </c:layout>
      <c:scatterChart>
        <c:scatterStyle val="smoothMarker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27694138232720938"/>
                  <c:y val="-0.54914625255176464"/>
                </c:manualLayout>
              </c:layout>
              <c:numFmt formatCode="General" sourceLinked="0"/>
            </c:trendlineLbl>
          </c:trendline>
          <c:xVal>
            <c:numRef>
              <c:f>Foglio3!$C$4:$C$14</c:f>
              <c:numCache>
                <c:formatCode>General</c:formatCode>
                <c:ptCount val="1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</c:numCache>
            </c:numRef>
          </c:xVal>
          <c:yVal>
            <c:numRef>
              <c:f>Foglio3!$H$4:$H$14</c:f>
              <c:numCache>
                <c:formatCode>General</c:formatCode>
                <c:ptCount val="11"/>
                <c:pt idx="0">
                  <c:v>0.33800000000000002</c:v>
                </c:pt>
                <c:pt idx="1">
                  <c:v>0.36</c:v>
                </c:pt>
                <c:pt idx="2">
                  <c:v>0.379</c:v>
                </c:pt>
                <c:pt idx="3">
                  <c:v>0.39600000000000002</c:v>
                </c:pt>
                <c:pt idx="4">
                  <c:v>0.41099999999999998</c:v>
                </c:pt>
                <c:pt idx="5">
                  <c:v>0.42399999999999999</c:v>
                </c:pt>
                <c:pt idx="6">
                  <c:v>0.435</c:v>
                </c:pt>
                <c:pt idx="7">
                  <c:v>0.44400000000000001</c:v>
                </c:pt>
                <c:pt idx="8">
                  <c:v>0.45200000000000001</c:v>
                </c:pt>
                <c:pt idx="9">
                  <c:v>0.45900000000000002</c:v>
                </c:pt>
                <c:pt idx="10">
                  <c:v>0.46500000000000002</c:v>
                </c:pt>
              </c:numCache>
            </c:numRef>
          </c:yVal>
          <c:smooth val="1"/>
        </c:ser>
        <c:axId val="69010560"/>
        <c:axId val="69012096"/>
      </c:scatterChart>
      <c:valAx>
        <c:axId val="69010560"/>
        <c:scaling>
          <c:orientation val="minMax"/>
        </c:scaling>
        <c:axPos val="b"/>
        <c:numFmt formatCode="General" sourceLinked="1"/>
        <c:tickLblPos val="nextTo"/>
        <c:crossAx val="69012096"/>
        <c:crosses val="autoZero"/>
        <c:crossBetween val="midCat"/>
      </c:valAx>
      <c:valAx>
        <c:axId val="69012096"/>
        <c:scaling>
          <c:orientation val="minMax"/>
        </c:scaling>
        <c:axPos val="l"/>
        <c:majorGridlines/>
        <c:numFmt formatCode="General" sourceLinked="1"/>
        <c:tickLblPos val="nextTo"/>
        <c:crossAx val="6901056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2</xdr:row>
      <xdr:rowOff>133350</xdr:rowOff>
    </xdr:from>
    <xdr:to>
      <xdr:col>17</xdr:col>
      <xdr:colOff>9525</xdr:colOff>
      <xdr:row>17</xdr:row>
      <xdr:rowOff>19050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95250</xdr:colOff>
      <xdr:row>14</xdr:row>
      <xdr:rowOff>180975</xdr:rowOff>
    </xdr:from>
    <xdr:to>
      <xdr:col>16</xdr:col>
      <xdr:colOff>400050</xdr:colOff>
      <xdr:row>29</xdr:row>
      <xdr:rowOff>66675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66675</xdr:colOff>
      <xdr:row>27</xdr:row>
      <xdr:rowOff>76200</xdr:rowOff>
    </xdr:from>
    <xdr:to>
      <xdr:col>16</xdr:col>
      <xdr:colOff>371475</xdr:colOff>
      <xdr:row>41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295275</xdr:colOff>
      <xdr:row>5</xdr:row>
      <xdr:rowOff>161925</xdr:rowOff>
    </xdr:from>
    <xdr:to>
      <xdr:col>23</xdr:col>
      <xdr:colOff>600075</xdr:colOff>
      <xdr:row>20</xdr:row>
      <xdr:rowOff>47625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447675</xdr:colOff>
      <xdr:row>17</xdr:row>
      <xdr:rowOff>38100</xdr:rowOff>
    </xdr:from>
    <xdr:to>
      <xdr:col>24</xdr:col>
      <xdr:colOff>142875</xdr:colOff>
      <xdr:row>31</xdr:row>
      <xdr:rowOff>114300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6"/>
  <sheetViews>
    <sheetView tabSelected="1" topLeftCell="B13" workbookViewId="0">
      <selection activeCell="K11" sqref="K11"/>
    </sheetView>
  </sheetViews>
  <sheetFormatPr defaultRowHeight="15"/>
  <cols>
    <col min="1" max="1" width="9.140625" style="15"/>
    <col min="2" max="2" width="31.7109375" style="15" customWidth="1"/>
    <col min="3" max="3" width="9.7109375" style="15" customWidth="1"/>
    <col min="4" max="4" width="8.140625" style="15" customWidth="1"/>
    <col min="5" max="5" width="3.140625" style="15" customWidth="1"/>
    <col min="6" max="6" width="8.7109375" style="15" customWidth="1"/>
    <col min="7" max="7" width="8.28515625" style="15" customWidth="1"/>
    <col min="8" max="8" width="3" style="15" customWidth="1"/>
    <col min="9" max="9" width="7.140625" style="15" customWidth="1"/>
    <col min="10" max="10" width="4.28515625" style="15" customWidth="1"/>
    <col min="11" max="11" width="6" style="15" customWidth="1"/>
    <col min="12" max="12" width="1.42578125" style="15" customWidth="1"/>
    <col min="13" max="13" width="37.42578125" style="15" customWidth="1"/>
    <col min="14" max="14" width="8.42578125" style="15" customWidth="1"/>
    <col min="15" max="15" width="5.85546875" style="15" customWidth="1"/>
    <col min="16" max="16" width="5.5703125" style="15" customWidth="1"/>
    <col min="17" max="17" width="3.5703125" style="15" customWidth="1"/>
    <col min="18" max="18" width="6.28515625" style="15" customWidth="1"/>
    <col min="19" max="19" width="4.7109375" style="15" customWidth="1"/>
    <col min="20" max="20" width="6.7109375" style="15" customWidth="1"/>
    <col min="21" max="21" width="16" style="15" customWidth="1"/>
    <col min="22" max="22" width="7.28515625" style="15" customWidth="1"/>
    <col min="23" max="25" width="9.140625" style="15"/>
    <col min="26" max="26" width="13.7109375" style="15" customWidth="1"/>
    <col min="27" max="34" width="9.140625" style="15"/>
  </cols>
  <sheetData>
    <row r="1" spans="2:22">
      <c r="B1" s="87" t="s">
        <v>139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2:22">
      <c r="B2" s="87" t="s">
        <v>140</v>
      </c>
      <c r="C2" s="87"/>
      <c r="D2" s="87"/>
      <c r="E2" s="87"/>
      <c r="F2" s="87"/>
      <c r="G2" s="87"/>
      <c r="H2" s="87"/>
      <c r="I2" s="87"/>
      <c r="J2" s="87"/>
    </row>
    <row r="3" spans="2:22">
      <c r="B3" s="16"/>
      <c r="C3" s="16"/>
      <c r="D3" s="16"/>
      <c r="E3" s="16"/>
      <c r="F3" s="16"/>
      <c r="G3" s="16"/>
      <c r="H3" s="16"/>
    </row>
    <row r="4" spans="2:22">
      <c r="B4" s="27" t="s">
        <v>57</v>
      </c>
      <c r="C4" s="28"/>
      <c r="D4" s="28"/>
      <c r="E4" s="28"/>
      <c r="F4" s="28"/>
      <c r="G4" s="29"/>
      <c r="H4" s="30"/>
      <c r="I4" s="30"/>
      <c r="J4" s="30"/>
      <c r="K4" s="30"/>
      <c r="L4" s="30"/>
      <c r="M4" s="27" t="s">
        <v>119</v>
      </c>
      <c r="N4" s="28"/>
      <c r="O4" s="28"/>
      <c r="P4" s="28"/>
      <c r="Q4" s="28"/>
      <c r="R4" s="28"/>
      <c r="S4" s="28"/>
      <c r="T4" s="28"/>
      <c r="U4" s="28"/>
      <c r="V4" s="29"/>
    </row>
    <row r="5" spans="2:22" ht="17.25" thickBot="1">
      <c r="B5" s="31" t="s">
        <v>89</v>
      </c>
      <c r="C5" s="32"/>
      <c r="D5" s="32" t="s">
        <v>120</v>
      </c>
      <c r="E5" s="76">
        <f>0.85*VLOOKUP(Tabelle!O4,Tabelle!K4:N15,4)/1.5</f>
        <v>14.166666666666666</v>
      </c>
      <c r="F5" s="76"/>
      <c r="G5" s="33" t="s">
        <v>121</v>
      </c>
      <c r="H5" s="30"/>
      <c r="I5" s="30"/>
      <c r="J5" s="30"/>
      <c r="K5" s="30"/>
      <c r="L5" s="30"/>
      <c r="M5" s="31" t="s">
        <v>100</v>
      </c>
      <c r="N5" s="32"/>
      <c r="O5" s="32"/>
      <c r="P5" s="32"/>
      <c r="Q5" s="32"/>
      <c r="R5" s="32"/>
      <c r="S5" s="32"/>
      <c r="T5" s="32"/>
      <c r="U5" s="32"/>
      <c r="V5" s="34"/>
    </row>
    <row r="6" spans="2:22" ht="17.25" thickBot="1">
      <c r="B6" s="35" t="s">
        <v>90</v>
      </c>
      <c r="C6" s="36" t="s">
        <v>58</v>
      </c>
      <c r="D6" s="36" t="s">
        <v>122</v>
      </c>
      <c r="E6" s="77">
        <f>450/1.15</f>
        <v>391.304347826087</v>
      </c>
      <c r="F6" s="77"/>
      <c r="G6" s="37" t="s">
        <v>121</v>
      </c>
      <c r="H6" s="30"/>
      <c r="I6" s="30"/>
      <c r="J6" s="30"/>
      <c r="K6" s="30"/>
      <c r="L6" s="30"/>
      <c r="M6" s="31" t="s">
        <v>110</v>
      </c>
      <c r="N6" s="32" t="s">
        <v>52</v>
      </c>
      <c r="O6" s="38">
        <v>1</v>
      </c>
      <c r="P6" s="39" t="s">
        <v>54</v>
      </c>
      <c r="Q6" s="39"/>
      <c r="R6" s="32"/>
      <c r="S6" s="32"/>
      <c r="T6" s="32"/>
      <c r="U6" s="32"/>
      <c r="V6" s="34"/>
    </row>
    <row r="7" spans="2:22" ht="15.75" thickBot="1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1"/>
      <c r="N7" s="32"/>
      <c r="O7" s="39" t="s">
        <v>56</v>
      </c>
      <c r="P7" s="32"/>
      <c r="Q7" s="32"/>
      <c r="R7" s="32"/>
      <c r="S7" s="32"/>
      <c r="T7" s="32"/>
      <c r="U7" s="32"/>
      <c r="V7" s="34"/>
    </row>
    <row r="8" spans="2:22" ht="16.5" thickBot="1">
      <c r="B8" s="27" t="s">
        <v>3</v>
      </c>
      <c r="C8" s="40"/>
      <c r="D8" s="40"/>
      <c r="E8" s="40"/>
      <c r="F8" s="40"/>
      <c r="G8" s="41"/>
      <c r="H8" s="30"/>
      <c r="I8" s="30"/>
      <c r="J8" s="30"/>
      <c r="K8" s="30"/>
      <c r="L8" s="30"/>
      <c r="M8" s="31"/>
      <c r="N8" s="32"/>
      <c r="O8" s="38">
        <v>1</v>
      </c>
      <c r="P8" s="39" t="s">
        <v>54</v>
      </c>
      <c r="Q8" s="39"/>
      <c r="R8" s="39" t="s">
        <v>55</v>
      </c>
      <c r="S8" s="39">
        <f>O6*VLOOKUP(Tabelle!E21,Tabelle!B21:D30,3)+O8*VLOOKUP(Tabelle!F21,Tabelle!B21:D30,3)</f>
        <v>163.28</v>
      </c>
      <c r="T8" s="39" t="s">
        <v>123</v>
      </c>
      <c r="U8" s="42" t="str">
        <f>IF(S8&gt;=J29,"ok","no")</f>
        <v>ok</v>
      </c>
      <c r="V8" s="34"/>
    </row>
    <row r="9" spans="2:22" ht="15.75" thickBot="1">
      <c r="B9" s="31"/>
      <c r="C9" s="32"/>
      <c r="D9" s="32" t="s">
        <v>134</v>
      </c>
      <c r="E9" s="32"/>
      <c r="F9" s="32" t="s">
        <v>135</v>
      </c>
      <c r="G9" s="34"/>
      <c r="H9" s="30"/>
      <c r="I9" s="30"/>
      <c r="J9" s="30"/>
      <c r="K9" s="30"/>
      <c r="L9" s="30"/>
      <c r="M9" s="31" t="s">
        <v>108</v>
      </c>
      <c r="N9" s="39" t="s">
        <v>109</v>
      </c>
      <c r="O9" s="83">
        <f>MIN(S8/(D17*(D14-D16)),0.02)</f>
        <v>8.1639999999999994E-3</v>
      </c>
      <c r="P9" s="83"/>
      <c r="Q9" s="83"/>
      <c r="R9" s="32"/>
      <c r="S9" s="32"/>
      <c r="T9" s="32"/>
      <c r="U9" s="32"/>
      <c r="V9" s="34"/>
    </row>
    <row r="10" spans="2:22" ht="15.75" thickBot="1">
      <c r="B10" s="31" t="s">
        <v>35</v>
      </c>
      <c r="C10" s="39" t="s">
        <v>0</v>
      </c>
      <c r="D10" s="43">
        <v>6</v>
      </c>
      <c r="E10" s="39" t="s">
        <v>1</v>
      </c>
      <c r="F10" s="43">
        <v>5</v>
      </c>
      <c r="G10" s="33" t="s">
        <v>2</v>
      </c>
      <c r="H10" s="30"/>
      <c r="I10" s="30"/>
      <c r="J10" s="30"/>
      <c r="K10" s="30"/>
      <c r="L10" s="30"/>
      <c r="M10" s="31"/>
      <c r="N10" s="39" t="s">
        <v>79</v>
      </c>
      <c r="O10" s="79">
        <f>MIN(1+SQRT(200/(D14-D16)),2)</f>
        <v>2</v>
      </c>
      <c r="P10" s="79"/>
      <c r="Q10" s="79"/>
      <c r="R10" s="32"/>
      <c r="S10" s="32"/>
      <c r="T10" s="32"/>
      <c r="U10" s="32"/>
      <c r="V10" s="34"/>
    </row>
    <row r="11" spans="2:22" ht="16.5" thickBot="1">
      <c r="B11" s="31"/>
      <c r="C11" s="32"/>
      <c r="D11" s="32"/>
      <c r="E11" s="32"/>
      <c r="F11" s="32"/>
      <c r="G11" s="33"/>
      <c r="H11" s="44"/>
      <c r="I11" s="30"/>
      <c r="J11" s="30"/>
      <c r="K11" s="30"/>
      <c r="L11" s="30"/>
      <c r="M11" s="31"/>
      <c r="N11" s="39" t="s">
        <v>129</v>
      </c>
      <c r="O11" s="70">
        <f>(0.18*O10*(100*O9*(VLOOKUP(Tabelle!O4,Tabelle!K4:N15,4)))^(1/3)*D17*(D14-D16)/1.5)/(D18/1000)/1000</f>
        <v>21.862726502700802</v>
      </c>
      <c r="P11" s="70"/>
      <c r="Q11" s="70"/>
      <c r="R11" s="39" t="s">
        <v>31</v>
      </c>
      <c r="S11" s="84" t="str">
        <f>IF(O11&gt;=D31,"ok","necessaria armatura a taglio")</f>
        <v>ok</v>
      </c>
      <c r="T11" s="85"/>
      <c r="U11" s="86"/>
      <c r="V11" s="34"/>
    </row>
    <row r="12" spans="2:22" ht="15.75" thickBot="1">
      <c r="B12" s="31" t="s">
        <v>91</v>
      </c>
      <c r="C12" s="39" t="s">
        <v>4</v>
      </c>
      <c r="D12" s="32">
        <f>VLOOKUP(Tabelle!E3,Tabelle!B3:C5,2)*10</f>
        <v>180</v>
      </c>
      <c r="E12" s="32"/>
      <c r="F12" s="32"/>
      <c r="G12" s="33" t="s">
        <v>6</v>
      </c>
      <c r="H12" s="30"/>
      <c r="I12" s="30"/>
      <c r="J12" s="30"/>
      <c r="K12" s="30"/>
      <c r="L12" s="30"/>
      <c r="M12" s="31"/>
      <c r="N12" s="32"/>
      <c r="O12" s="32"/>
      <c r="P12" s="32"/>
      <c r="Q12" s="32"/>
      <c r="R12" s="32"/>
      <c r="S12" s="32"/>
      <c r="T12" s="32"/>
      <c r="U12" s="32"/>
      <c r="V12" s="34"/>
    </row>
    <row r="13" spans="2:22" ht="15.75" thickBot="1">
      <c r="B13" s="45" t="s">
        <v>92</v>
      </c>
      <c r="C13" s="46" t="s">
        <v>5</v>
      </c>
      <c r="D13" s="67">
        <v>50</v>
      </c>
      <c r="E13" s="68"/>
      <c r="F13" s="69"/>
      <c r="G13" s="47" t="s">
        <v>6</v>
      </c>
      <c r="H13" s="30"/>
      <c r="I13" s="30"/>
      <c r="J13" s="30"/>
      <c r="K13" s="30"/>
      <c r="L13" s="30"/>
      <c r="M13" s="31" t="s">
        <v>111</v>
      </c>
      <c r="N13" s="32" t="s">
        <v>53</v>
      </c>
      <c r="O13" s="38">
        <v>1</v>
      </c>
      <c r="P13" s="39" t="s">
        <v>54</v>
      </c>
      <c r="Q13" s="32"/>
      <c r="R13" s="32"/>
      <c r="S13" s="32"/>
      <c r="T13" s="32"/>
      <c r="U13" s="32"/>
      <c r="V13" s="34"/>
    </row>
    <row r="14" spans="2:22" ht="15.75" thickBot="1">
      <c r="B14" s="48" t="s">
        <v>93</v>
      </c>
      <c r="C14" s="49" t="s">
        <v>7</v>
      </c>
      <c r="D14" s="78">
        <f>SUM(D12:D13)</f>
        <v>230</v>
      </c>
      <c r="E14" s="78"/>
      <c r="F14" s="78"/>
      <c r="G14" s="50" t="s">
        <v>6</v>
      </c>
      <c r="H14" s="30"/>
      <c r="I14" s="30"/>
      <c r="J14" s="30"/>
      <c r="K14" s="30"/>
      <c r="L14" s="30"/>
      <c r="M14" s="31"/>
      <c r="N14" s="32"/>
      <c r="O14" s="39" t="s">
        <v>56</v>
      </c>
      <c r="P14" s="32"/>
      <c r="Q14" s="32"/>
      <c r="R14" s="32"/>
      <c r="S14" s="32"/>
      <c r="T14" s="32"/>
      <c r="U14" s="32"/>
      <c r="V14" s="34"/>
    </row>
    <row r="15" spans="2:22" ht="16.5" thickBot="1">
      <c r="B15" s="48"/>
      <c r="C15" s="49"/>
      <c r="D15" s="49"/>
      <c r="E15" s="49"/>
      <c r="F15" s="49"/>
      <c r="G15" s="50"/>
      <c r="H15" s="30"/>
      <c r="I15" s="30"/>
      <c r="J15" s="30"/>
      <c r="K15" s="30"/>
      <c r="L15" s="30"/>
      <c r="M15" s="31"/>
      <c r="N15" s="32"/>
      <c r="O15" s="38">
        <v>1</v>
      </c>
      <c r="P15" s="39" t="s">
        <v>54</v>
      </c>
      <c r="Q15" s="32"/>
      <c r="R15" s="39" t="s">
        <v>55</v>
      </c>
      <c r="S15" s="39">
        <f>O13*VLOOKUP(Tabelle!E22,Tabelle!B21:D30,3)+O15*VLOOKUP(Tabelle!F22,Tabelle!B21:D30,3)</f>
        <v>163.28</v>
      </c>
      <c r="T15" s="39" t="s">
        <v>123</v>
      </c>
      <c r="U15" s="42" t="str">
        <f>IF(S15&gt;=J30,"ok","no")</f>
        <v>ok</v>
      </c>
      <c r="V15" s="34"/>
    </row>
    <row r="16" spans="2:22" ht="15.75" thickBot="1">
      <c r="B16" s="31" t="s">
        <v>94</v>
      </c>
      <c r="C16" s="39" t="s">
        <v>82</v>
      </c>
      <c r="D16" s="67">
        <v>30</v>
      </c>
      <c r="E16" s="68"/>
      <c r="F16" s="69"/>
      <c r="G16" s="33" t="s">
        <v>6</v>
      </c>
      <c r="H16" s="30"/>
      <c r="I16" s="30"/>
      <c r="J16" s="30"/>
      <c r="K16" s="30"/>
      <c r="L16" s="30"/>
      <c r="M16" s="31" t="s">
        <v>108</v>
      </c>
      <c r="N16" s="39" t="s">
        <v>109</v>
      </c>
      <c r="O16" s="83">
        <f>MIN(S15/(D17*(D14-D16)),0.02)</f>
        <v>8.1639999999999994E-3</v>
      </c>
      <c r="P16" s="83"/>
      <c r="Q16" s="83"/>
      <c r="R16" s="32"/>
      <c r="S16" s="32"/>
      <c r="T16" s="32"/>
      <c r="U16" s="32"/>
      <c r="V16" s="34"/>
    </row>
    <row r="17" spans="2:30" ht="15.75" thickBot="1">
      <c r="B17" s="31" t="s">
        <v>95</v>
      </c>
      <c r="C17" s="39" t="s">
        <v>36</v>
      </c>
      <c r="D17" s="67">
        <v>100</v>
      </c>
      <c r="E17" s="68"/>
      <c r="F17" s="69"/>
      <c r="G17" s="33" t="s">
        <v>6</v>
      </c>
      <c r="H17" s="30"/>
      <c r="I17" s="30"/>
      <c r="J17" s="30"/>
      <c r="K17" s="30"/>
      <c r="L17" s="30"/>
      <c r="M17" s="31"/>
      <c r="N17" s="39" t="s">
        <v>79</v>
      </c>
      <c r="O17" s="79">
        <f>MIN(1+SQRT(200/(D14-D16)),2)</f>
        <v>2</v>
      </c>
      <c r="P17" s="79"/>
      <c r="Q17" s="79"/>
      <c r="R17" s="32"/>
      <c r="S17" s="32"/>
      <c r="T17" s="32"/>
      <c r="U17" s="32"/>
      <c r="V17" s="34"/>
    </row>
    <row r="18" spans="2:30" ht="16.5" thickBot="1">
      <c r="B18" s="31" t="s">
        <v>96</v>
      </c>
      <c r="C18" s="39" t="s">
        <v>37</v>
      </c>
      <c r="D18" s="67">
        <v>600</v>
      </c>
      <c r="E18" s="68"/>
      <c r="F18" s="69"/>
      <c r="G18" s="33" t="s">
        <v>6</v>
      </c>
      <c r="H18" s="30"/>
      <c r="I18" s="30"/>
      <c r="J18" s="30"/>
      <c r="K18" s="30"/>
      <c r="L18" s="30"/>
      <c r="M18" s="35"/>
      <c r="N18" s="52" t="s">
        <v>129</v>
      </c>
      <c r="O18" s="71">
        <f>(0.18*O17*(100*O16*(VLOOKUP(Tabelle!O4,Tabelle!K4:N15,4)))^(1/3)*D17*(D14-D16)/1.5)/(D18/1000)/1000</f>
        <v>21.862726502700802</v>
      </c>
      <c r="P18" s="71"/>
      <c r="Q18" s="71"/>
      <c r="R18" s="52" t="s">
        <v>31</v>
      </c>
      <c r="S18" s="84" t="str">
        <f>IF(O18&gt;=D32,"ok","necessaria armatura a taglio")</f>
        <v>ok</v>
      </c>
      <c r="T18" s="85"/>
      <c r="U18" s="86"/>
      <c r="V18" s="51"/>
    </row>
    <row r="19" spans="2:30" ht="15.75">
      <c r="B19" s="35" t="s">
        <v>84</v>
      </c>
      <c r="C19" s="52" t="s">
        <v>83</v>
      </c>
      <c r="D19" s="77">
        <f>(s*D18+D17*hc)*(1000/D18)</f>
        <v>80000</v>
      </c>
      <c r="E19" s="77"/>
      <c r="F19" s="77"/>
      <c r="G19" s="51" t="s">
        <v>123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2:30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</row>
    <row r="21" spans="2:30">
      <c r="B21" s="27" t="s">
        <v>8</v>
      </c>
      <c r="C21" s="28"/>
      <c r="D21" s="28"/>
      <c r="E21" s="28"/>
      <c r="F21" s="28"/>
      <c r="G21" s="29"/>
      <c r="H21" s="30"/>
      <c r="I21" s="30"/>
      <c r="J21" s="30"/>
      <c r="K21" s="30"/>
      <c r="L21" s="30"/>
      <c r="M21" s="27" t="s">
        <v>87</v>
      </c>
      <c r="N21" s="59"/>
      <c r="O21" s="60"/>
      <c r="P21" s="59"/>
      <c r="Q21" s="28"/>
      <c r="R21" s="28"/>
      <c r="S21" s="28"/>
      <c r="T21" s="28"/>
      <c r="U21" s="28"/>
      <c r="V21" s="29"/>
      <c r="W21" s="16"/>
      <c r="X21" s="16"/>
      <c r="Y21" s="16"/>
      <c r="Z21" s="16"/>
      <c r="AA21" s="16"/>
      <c r="AB21" s="16"/>
      <c r="AC21" s="16"/>
      <c r="AD21" s="16"/>
    </row>
    <row r="22" spans="2:30" ht="17.25" thickBot="1">
      <c r="B22" s="31" t="s">
        <v>97</v>
      </c>
      <c r="C22" s="39" t="s">
        <v>124</v>
      </c>
      <c r="D22" s="79">
        <f>VLOOKUP(Tabelle!E3,Tabelle!B3:D5,3)+25*s/1000</f>
        <v>2.87</v>
      </c>
      <c r="E22" s="79"/>
      <c r="F22" s="79"/>
      <c r="G22" s="33" t="s">
        <v>125</v>
      </c>
      <c r="H22" s="30"/>
      <c r="I22" s="30"/>
      <c r="J22" s="30"/>
      <c r="K22" s="30"/>
      <c r="L22" s="30"/>
      <c r="M22" s="31" t="s">
        <v>101</v>
      </c>
      <c r="N22" s="39" t="s">
        <v>130</v>
      </c>
      <c r="O22" s="70">
        <f>MAX(D29,D30)</f>
        <v>17.037427000000001</v>
      </c>
      <c r="P22" s="70"/>
      <c r="Q22" s="70"/>
      <c r="R22" s="39" t="s">
        <v>26</v>
      </c>
      <c r="S22" s="32"/>
      <c r="T22" s="32"/>
      <c r="U22" s="32"/>
      <c r="V22" s="34"/>
      <c r="W22" s="16"/>
      <c r="X22" s="16"/>
      <c r="Y22" s="16"/>
      <c r="Z22" s="16"/>
      <c r="AA22" s="16"/>
      <c r="AB22" s="16"/>
      <c r="AC22" s="16"/>
      <c r="AD22" s="16"/>
    </row>
    <row r="23" spans="2:30" ht="17.25" thickBot="1">
      <c r="B23" s="31" t="s">
        <v>98</v>
      </c>
      <c r="C23" s="39" t="s">
        <v>126</v>
      </c>
      <c r="D23" s="72">
        <v>3</v>
      </c>
      <c r="E23" s="73"/>
      <c r="F23" s="74"/>
      <c r="G23" s="33" t="s">
        <v>125</v>
      </c>
      <c r="H23" s="30"/>
      <c r="I23" s="30"/>
      <c r="J23" s="30"/>
      <c r="K23" s="30"/>
      <c r="L23" s="30"/>
      <c r="M23" s="31" t="s">
        <v>102</v>
      </c>
      <c r="N23" s="39" t="s">
        <v>85</v>
      </c>
      <c r="O23" s="75">
        <f>MAX(J29:J30)*1000/D18</f>
        <v>242.07767831770389</v>
      </c>
      <c r="P23" s="75"/>
      <c r="Q23" s="75"/>
      <c r="R23" s="32" t="s">
        <v>123</v>
      </c>
      <c r="S23" s="39" t="s">
        <v>33</v>
      </c>
      <c r="T23" s="39" t="s">
        <v>73</v>
      </c>
      <c r="U23" s="61">
        <f>O23/D19</f>
        <v>3.0259709789712988E-3</v>
      </c>
      <c r="V23" s="34"/>
      <c r="W23" s="16"/>
      <c r="X23" s="16"/>
      <c r="Y23" s="16"/>
      <c r="Z23" s="16"/>
      <c r="AA23" s="16"/>
      <c r="AB23" s="16"/>
      <c r="AC23" s="16"/>
      <c r="AD23" s="16"/>
    </row>
    <row r="24" spans="2:30" ht="17.25" thickBot="1">
      <c r="B24" s="35" t="s">
        <v>99</v>
      </c>
      <c r="C24" s="52" t="s">
        <v>127</v>
      </c>
      <c r="D24" s="72">
        <v>2</v>
      </c>
      <c r="E24" s="73"/>
      <c r="F24" s="74"/>
      <c r="G24" s="37" t="s">
        <v>125</v>
      </c>
      <c r="H24" s="30"/>
      <c r="I24" s="30"/>
      <c r="J24" s="30"/>
      <c r="K24" s="30"/>
      <c r="L24" s="30"/>
      <c r="M24" s="31" t="s">
        <v>103</v>
      </c>
      <c r="N24" s="39" t="s">
        <v>86</v>
      </c>
      <c r="O24" s="70">
        <f>MAX(S8,S15)*1000/D18</f>
        <v>272.13333333333333</v>
      </c>
      <c r="P24" s="70"/>
      <c r="Q24" s="70"/>
      <c r="R24" s="32" t="s">
        <v>123</v>
      </c>
      <c r="S24" s="39" t="s">
        <v>33</v>
      </c>
      <c r="T24" s="39" t="s">
        <v>74</v>
      </c>
      <c r="U24" s="54">
        <f>(D14-D16)-1/2*(O24*E6)/(1000*E5)</f>
        <v>196.24163682864449</v>
      </c>
      <c r="V24" s="33" t="str">
        <f>CONCATENATE("= ",TRUNC(U24/(D14-D16),2),"*d")</f>
        <v>= 0.98*d</v>
      </c>
      <c r="W24" s="16"/>
      <c r="X24" s="16"/>
      <c r="Y24" s="16"/>
      <c r="Z24" s="16"/>
      <c r="AA24" s="16"/>
      <c r="AB24" s="16"/>
      <c r="AC24" s="16"/>
      <c r="AD24" s="16"/>
    </row>
    <row r="25" spans="2:30" ht="15.75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1" t="s">
        <v>104</v>
      </c>
      <c r="N25" s="39" t="s">
        <v>75</v>
      </c>
      <c r="O25" s="82">
        <v>0</v>
      </c>
      <c r="P25" s="82"/>
      <c r="Q25" s="82"/>
      <c r="R25" s="32" t="s">
        <v>123</v>
      </c>
      <c r="S25" s="39" t="s">
        <v>33</v>
      </c>
      <c r="T25" s="39" t="s">
        <v>76</v>
      </c>
      <c r="U25" s="61">
        <f>O25/D19</f>
        <v>0</v>
      </c>
      <c r="V25" s="34"/>
      <c r="W25" s="16"/>
      <c r="X25" s="16"/>
      <c r="Y25" s="16"/>
      <c r="Z25" s="16"/>
      <c r="AA25" s="16"/>
      <c r="AB25" s="16"/>
      <c r="AC25" s="16"/>
      <c r="AD25" s="16"/>
    </row>
    <row r="26" spans="2:30">
      <c r="B26" s="27" t="s">
        <v>10</v>
      </c>
      <c r="C26" s="28"/>
      <c r="D26" s="28"/>
      <c r="E26" s="28"/>
      <c r="F26" s="28"/>
      <c r="G26" s="28"/>
      <c r="H26" s="28"/>
      <c r="I26" s="28"/>
      <c r="J26" s="28"/>
      <c r="K26" s="29"/>
      <c r="L26" s="53"/>
      <c r="M26" s="31"/>
      <c r="N26" s="32"/>
      <c r="O26" s="32"/>
      <c r="P26" s="32"/>
      <c r="Q26" s="32"/>
      <c r="R26" s="32"/>
      <c r="S26" s="32"/>
      <c r="T26" s="32"/>
      <c r="U26" s="32"/>
      <c r="V26" s="34"/>
      <c r="W26" s="16"/>
      <c r="X26" s="16"/>
      <c r="Y26" s="16"/>
      <c r="Z26" s="16"/>
      <c r="AA26" s="16"/>
      <c r="AB26" s="16"/>
      <c r="AC26" s="16"/>
      <c r="AD26" s="16"/>
    </row>
    <row r="27" spans="2:30" ht="16.5">
      <c r="B27" s="31" t="s">
        <v>11</v>
      </c>
      <c r="C27" s="39" t="s">
        <v>128</v>
      </c>
      <c r="D27" s="70">
        <f>1.3*D22+1.5*(D23+D24)</f>
        <v>11.231</v>
      </c>
      <c r="E27" s="70"/>
      <c r="F27" s="70"/>
      <c r="G27" s="39" t="s">
        <v>125</v>
      </c>
      <c r="H27" s="32"/>
      <c r="I27" s="32"/>
      <c r="J27" s="32"/>
      <c r="K27" s="34"/>
      <c r="L27" s="53"/>
      <c r="M27" s="31" t="s">
        <v>77</v>
      </c>
      <c r="N27" s="39" t="s">
        <v>131</v>
      </c>
      <c r="O27" s="62">
        <f>MIN(500/(E6*1.15*O23/O24),1.5)</f>
        <v>1.2490634100246867</v>
      </c>
      <c r="P27" s="32"/>
      <c r="Q27" s="32"/>
      <c r="R27" s="32"/>
      <c r="S27" s="32"/>
      <c r="T27" s="32"/>
      <c r="U27" s="32"/>
      <c r="V27" s="34"/>
      <c r="W27" s="16"/>
      <c r="X27" s="16"/>
      <c r="Y27" s="16"/>
      <c r="Z27" s="16"/>
      <c r="AA27" s="16"/>
      <c r="AB27" s="16"/>
      <c r="AC27" s="16"/>
      <c r="AD27" s="16"/>
    </row>
    <row r="28" spans="2:30" ht="15.75">
      <c r="B28" s="31"/>
      <c r="C28" s="32"/>
      <c r="D28" s="32"/>
      <c r="E28" s="32"/>
      <c r="F28" s="32"/>
      <c r="G28" s="32"/>
      <c r="H28" s="32"/>
      <c r="I28" s="32"/>
      <c r="J28" s="32"/>
      <c r="K28" s="34"/>
      <c r="L28" s="53"/>
      <c r="M28" s="31" t="s">
        <v>105</v>
      </c>
      <c r="N28" s="39" t="s">
        <v>132</v>
      </c>
      <c r="O28" s="39">
        <v>0.8</v>
      </c>
      <c r="P28" s="32"/>
      <c r="Q28" s="32"/>
      <c r="R28" s="32"/>
      <c r="S28" s="32"/>
      <c r="T28" s="32"/>
      <c r="U28" s="32"/>
      <c r="V28" s="34"/>
      <c r="W28" s="16"/>
      <c r="X28" s="16"/>
      <c r="Y28" s="16"/>
      <c r="Z28" s="16"/>
      <c r="AA28" s="16"/>
      <c r="AB28" s="16"/>
      <c r="AC28" s="16"/>
      <c r="AD28" s="16"/>
    </row>
    <row r="29" spans="2:30" ht="16.5">
      <c r="B29" s="31" t="s">
        <v>137</v>
      </c>
      <c r="C29" s="39" t="s">
        <v>24</v>
      </c>
      <c r="D29" s="70">
        <f>a^2*D27*Foglio3!$D$18</f>
        <v>13.413587616000015</v>
      </c>
      <c r="E29" s="70"/>
      <c r="F29" s="70"/>
      <c r="G29" s="39" t="s">
        <v>26</v>
      </c>
      <c r="H29" s="66" t="s">
        <v>33</v>
      </c>
      <c r="I29" s="39" t="s">
        <v>34</v>
      </c>
      <c r="J29" s="54">
        <f>D29*10^6/(0.9*(D14-D16)*391)*D18/1000</f>
        <v>114.35283560102314</v>
      </c>
      <c r="K29" s="33" t="s">
        <v>136</v>
      </c>
      <c r="L29" s="55"/>
      <c r="M29" s="31" t="s">
        <v>78</v>
      </c>
      <c r="N29" s="39" t="s">
        <v>133</v>
      </c>
      <c r="O29" s="64">
        <v>1</v>
      </c>
      <c r="P29" s="32"/>
      <c r="Q29" s="32"/>
      <c r="R29" s="32"/>
      <c r="S29" s="32"/>
      <c r="T29" s="32"/>
      <c r="U29" s="32"/>
      <c r="V29" s="34"/>
      <c r="W29" s="16"/>
      <c r="X29" s="16"/>
      <c r="Y29" s="16"/>
      <c r="Z29" s="16"/>
      <c r="AA29" s="16"/>
      <c r="AB29" s="16"/>
      <c r="AC29" s="16"/>
      <c r="AD29" s="16"/>
    </row>
    <row r="30" spans="2:30" ht="15.75">
      <c r="B30" s="31" t="s">
        <v>138</v>
      </c>
      <c r="C30" s="39" t="s">
        <v>25</v>
      </c>
      <c r="D30" s="70">
        <f>b^2*D27*Foglio3!$D$19</f>
        <v>17.037427000000001</v>
      </c>
      <c r="E30" s="70"/>
      <c r="F30" s="70"/>
      <c r="G30" s="39" t="s">
        <v>26</v>
      </c>
      <c r="H30" s="66"/>
      <c r="I30" s="39" t="s">
        <v>34</v>
      </c>
      <c r="J30" s="54">
        <f>D30*10^6/(0.9*(D14-D16)*391)*D18/1000</f>
        <v>145.24660699062233</v>
      </c>
      <c r="K30" s="33" t="s">
        <v>136</v>
      </c>
      <c r="L30" s="55"/>
      <c r="M30" s="31" t="s">
        <v>106</v>
      </c>
      <c r="N30" s="39" t="s">
        <v>79</v>
      </c>
      <c r="O30" s="64">
        <v>1</v>
      </c>
      <c r="P30" s="32"/>
      <c r="Q30" s="32"/>
      <c r="R30" s="32"/>
      <c r="S30" s="32"/>
      <c r="T30" s="32"/>
      <c r="U30" s="32"/>
      <c r="V30" s="34"/>
      <c r="W30" s="16"/>
      <c r="X30" s="16"/>
      <c r="Y30" s="16"/>
      <c r="Z30" s="16"/>
      <c r="AA30" s="16"/>
      <c r="AB30" s="16"/>
      <c r="AC30" s="16"/>
      <c r="AD30" s="16"/>
    </row>
    <row r="31" spans="2:30" ht="15.75" thickBot="1">
      <c r="B31" s="31" t="s">
        <v>27</v>
      </c>
      <c r="C31" s="39" t="s">
        <v>29</v>
      </c>
      <c r="D31" s="70">
        <f>Foglio3!$D$20*Calcolo!D27*a</f>
        <v>19.890729936000003</v>
      </c>
      <c r="E31" s="70"/>
      <c r="F31" s="70"/>
      <c r="G31" s="39" t="s">
        <v>31</v>
      </c>
      <c r="H31" s="56"/>
      <c r="I31" s="39"/>
      <c r="J31" s="39"/>
      <c r="K31" s="33"/>
      <c r="L31" s="55"/>
      <c r="M31" s="31"/>
      <c r="N31" s="32"/>
      <c r="O31" s="32"/>
      <c r="P31" s="32"/>
      <c r="Q31" s="32"/>
      <c r="R31" s="32"/>
      <c r="S31" s="32"/>
      <c r="T31" s="32"/>
      <c r="U31" s="32"/>
      <c r="V31" s="34"/>
      <c r="W31" s="16"/>
      <c r="X31" s="16"/>
      <c r="Y31" s="16"/>
      <c r="Z31" s="16"/>
      <c r="AA31" s="16"/>
      <c r="AB31" s="16"/>
      <c r="AC31" s="16"/>
      <c r="AD31" s="16"/>
    </row>
    <row r="32" spans="2:30" ht="15.75" thickBot="1">
      <c r="B32" s="35" t="s">
        <v>28</v>
      </c>
      <c r="C32" s="52" t="s">
        <v>30</v>
      </c>
      <c r="D32" s="71">
        <f>Foglio3!$D$21*Calcolo!D27*b</f>
        <v>21.369448320000004</v>
      </c>
      <c r="E32" s="71"/>
      <c r="F32" s="71"/>
      <c r="G32" s="52" t="s">
        <v>31</v>
      </c>
      <c r="H32" s="57"/>
      <c r="I32" s="52"/>
      <c r="J32" s="52"/>
      <c r="K32" s="37"/>
      <c r="L32" s="58"/>
      <c r="M32" s="35" t="s">
        <v>107</v>
      </c>
      <c r="N32" s="52" t="s">
        <v>80</v>
      </c>
      <c r="O32" s="63">
        <f>O30*O29*O28*O27*(11+1.5*SQRT(VLOOKUP(Tabelle!O4,Tabelle!K4:N15,4))*AA42/(U23-IF(U23&gt;AA42,U25,0))+IF(U23&gt;AA42,1/12*SQRT(#REF!)*SQRT(U25/AA42),3.2*SQRT(VLOOKUP(Tabelle!O4,Tabelle!K4:N15,4))*(AA42/U23-1)^(3/2)))</f>
        <v>31.799368446713856</v>
      </c>
      <c r="P32" s="36"/>
      <c r="Q32" s="52" t="s">
        <v>33</v>
      </c>
      <c r="R32" s="36" t="s">
        <v>81</v>
      </c>
      <c r="S32" s="63">
        <f>O32*(D14-D16)/1000</f>
        <v>6.3598736893427716</v>
      </c>
      <c r="T32" s="52" t="s">
        <v>2</v>
      </c>
      <c r="U32" s="80" t="str">
        <f>IF(S32&gt;=MIN(a,b),"ok","AUMENTARE LO SPESSORE")</f>
        <v>ok</v>
      </c>
      <c r="V32" s="81"/>
      <c r="W32" s="16"/>
      <c r="X32" s="16"/>
      <c r="Y32" s="16"/>
      <c r="Z32" s="16"/>
      <c r="AA32" s="16"/>
      <c r="AB32" s="16"/>
      <c r="AC32" s="16"/>
      <c r="AD32" s="16"/>
    </row>
    <row r="33" spans="2:31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W33" s="16"/>
      <c r="X33" s="16"/>
      <c r="Y33" s="16"/>
      <c r="Z33" s="17" t="s">
        <v>32</v>
      </c>
      <c r="AA33" s="16"/>
      <c r="AB33" s="16"/>
      <c r="AC33" s="16"/>
      <c r="AD33" s="16"/>
    </row>
    <row r="34" spans="2:31" ht="18">
      <c r="B34" s="17" t="s">
        <v>88</v>
      </c>
      <c r="K34" s="16"/>
      <c r="L34" s="16"/>
      <c r="W34" s="16"/>
      <c r="X34" s="16"/>
      <c r="Y34" s="16"/>
      <c r="Z34" s="16" t="s">
        <v>11</v>
      </c>
      <c r="AA34" s="18" t="s">
        <v>38</v>
      </c>
      <c r="AB34" s="65">
        <f>D22+(D23+D24)</f>
        <v>7.87</v>
      </c>
      <c r="AC34" s="65"/>
      <c r="AD34" s="65"/>
      <c r="AE34" s="19" t="s">
        <v>9</v>
      </c>
    </row>
    <row r="35" spans="2:31">
      <c r="W35" s="16"/>
      <c r="X35" s="16"/>
      <c r="Y35" s="16"/>
      <c r="Z35" s="16"/>
      <c r="AA35" s="16"/>
      <c r="AB35" s="16"/>
      <c r="AC35" s="16"/>
      <c r="AD35" s="16"/>
    </row>
    <row r="36" spans="2:31">
      <c r="B36" s="15" t="s">
        <v>112</v>
      </c>
      <c r="C36" s="22">
        <f>VLOOKUP(Tabelle!H10,Tabelle!B10:G18,6)</f>
        <v>3.9438400000000002</v>
      </c>
      <c r="D36" s="19" t="s">
        <v>114</v>
      </c>
      <c r="N36" s="16"/>
      <c r="O36" s="16"/>
      <c r="P36" s="16"/>
      <c r="Q36" s="16"/>
      <c r="R36" s="16"/>
      <c r="S36" s="16"/>
      <c r="T36" s="16"/>
      <c r="U36" s="16"/>
      <c r="V36" s="16"/>
      <c r="X36" s="16"/>
      <c r="Y36" s="16"/>
      <c r="Z36" s="16" t="s">
        <v>22</v>
      </c>
      <c r="AA36" s="18" t="s">
        <v>24</v>
      </c>
      <c r="AB36" s="65">
        <f>a^2*AB34*Foglio3!$D$18</f>
        <v>9.3994243200000103</v>
      </c>
      <c r="AC36" s="65"/>
      <c r="AD36" s="65"/>
      <c r="AE36" s="19" t="s">
        <v>26</v>
      </c>
    </row>
    <row r="37" spans="2:31">
      <c r="B37" s="15" t="s">
        <v>115</v>
      </c>
      <c r="C37" s="22">
        <f>S8/10^6*7850*1000/D18</f>
        <v>2.1362466666666662</v>
      </c>
      <c r="D37" s="19" t="s">
        <v>114</v>
      </c>
      <c r="X37" s="16"/>
      <c r="Y37" s="16"/>
      <c r="Z37" s="16" t="s">
        <v>23</v>
      </c>
      <c r="AA37" s="18" t="s">
        <v>25</v>
      </c>
      <c r="AB37" s="65">
        <f>b^2*AB34*Foglio3!$D$19</f>
        <v>11.938790000000003</v>
      </c>
      <c r="AC37" s="65"/>
      <c r="AD37" s="65"/>
      <c r="AE37" s="19" t="s">
        <v>26</v>
      </c>
    </row>
    <row r="38" spans="2:31">
      <c r="B38" s="15" t="s">
        <v>116</v>
      </c>
      <c r="C38" s="23">
        <f>S15/10^6*7850*1000/D18</f>
        <v>2.1362466666666662</v>
      </c>
      <c r="D38" s="24" t="s">
        <v>114</v>
      </c>
      <c r="W38" s="16"/>
      <c r="X38" s="16"/>
      <c r="Y38" s="16"/>
      <c r="Z38" s="16" t="s">
        <v>27</v>
      </c>
      <c r="AA38" s="18" t="s">
        <v>29</v>
      </c>
      <c r="AB38" s="65">
        <f>Foglio3!$D$20*Calcolo!AB34*a</f>
        <v>13.938210720000004</v>
      </c>
      <c r="AC38" s="65"/>
      <c r="AD38" s="65"/>
      <c r="AE38" s="19" t="s">
        <v>31</v>
      </c>
    </row>
    <row r="39" spans="2:31" ht="17.25">
      <c r="B39" s="25" t="s">
        <v>117</v>
      </c>
      <c r="C39" s="22">
        <f>SUM(C36:C38)</f>
        <v>8.216333333333333</v>
      </c>
      <c r="D39" s="26" t="s">
        <v>118</v>
      </c>
      <c r="X39" s="16"/>
      <c r="Y39" s="16"/>
      <c r="Z39" s="16" t="s">
        <v>28</v>
      </c>
      <c r="AA39" s="18" t="s">
        <v>30</v>
      </c>
      <c r="AB39" s="65">
        <f>Foglio3!$D$21*Calcolo!AB34*b</f>
        <v>14.974406400000003</v>
      </c>
      <c r="AC39" s="65"/>
      <c r="AD39" s="65"/>
      <c r="AE39" s="19" t="s">
        <v>31</v>
      </c>
    </row>
    <row r="40" spans="2:31">
      <c r="Y40" s="16"/>
      <c r="Z40" s="16"/>
      <c r="AA40" s="16"/>
      <c r="AB40" s="16"/>
      <c r="AC40" s="16"/>
      <c r="AD40" s="16"/>
    </row>
    <row r="41" spans="2:31">
      <c r="Y41" s="16"/>
      <c r="Z41" s="16"/>
      <c r="AA41" s="16"/>
      <c r="AB41" s="16"/>
      <c r="AC41" s="16"/>
      <c r="AD41" s="16"/>
    </row>
    <row r="42" spans="2:31" ht="18">
      <c r="K42" s="16"/>
      <c r="L42" s="16"/>
      <c r="W42" s="16"/>
      <c r="X42" s="16"/>
      <c r="Y42" s="16"/>
      <c r="Z42" s="20" t="s">
        <v>72</v>
      </c>
      <c r="AA42" s="21">
        <f>SQRT(VLOOKUP(Tabelle!O4,Tabelle!K4:N15,4))/10^3</f>
        <v>5.0000000000000001E-3</v>
      </c>
      <c r="AB42" s="16"/>
      <c r="AC42" s="16"/>
      <c r="AD42" s="16"/>
    </row>
    <row r="43" spans="2:31">
      <c r="K43" s="16"/>
      <c r="L43" s="16"/>
      <c r="W43" s="16"/>
      <c r="X43" s="16"/>
      <c r="Y43" s="16"/>
      <c r="Z43" s="16"/>
      <c r="AA43" s="16"/>
      <c r="AB43" s="16"/>
      <c r="AC43" s="16"/>
      <c r="AD43" s="16"/>
    </row>
    <row r="44" spans="2:31">
      <c r="K44" s="16"/>
      <c r="L44" s="16"/>
      <c r="W44" s="16"/>
      <c r="X44" s="16"/>
      <c r="Y44" s="16"/>
      <c r="Z44" s="16"/>
      <c r="AA44" s="16"/>
      <c r="AB44" s="16"/>
      <c r="AC44" s="16"/>
      <c r="AD44" s="16"/>
    </row>
    <row r="45" spans="2:31">
      <c r="K45" s="16"/>
      <c r="L45" s="16"/>
      <c r="W45" s="16"/>
      <c r="X45" s="16"/>
      <c r="Y45" s="16"/>
      <c r="Z45" s="16"/>
      <c r="AA45" s="16"/>
      <c r="AB45" s="16"/>
      <c r="AC45" s="16"/>
      <c r="AD45" s="16"/>
    </row>
    <row r="46" spans="2:31">
      <c r="K46" s="16"/>
      <c r="L46" s="16"/>
      <c r="W46" s="16"/>
      <c r="X46" s="16"/>
      <c r="Y46" s="16"/>
      <c r="Z46" s="16"/>
      <c r="AA46" s="16"/>
      <c r="AB46" s="16"/>
      <c r="AC46" s="16"/>
      <c r="AD46" s="16"/>
    </row>
    <row r="47" spans="2:31">
      <c r="K47" s="16"/>
      <c r="L47" s="16"/>
      <c r="W47" s="16"/>
      <c r="X47" s="16"/>
      <c r="Y47" s="16"/>
      <c r="Z47" s="16"/>
      <c r="AA47" s="16"/>
      <c r="AB47" s="16"/>
      <c r="AC47" s="16"/>
      <c r="AD47" s="16"/>
    </row>
    <row r="48" spans="2:31">
      <c r="K48" s="16"/>
      <c r="L48" s="16"/>
      <c r="W48" s="16"/>
      <c r="X48" s="16"/>
      <c r="Y48" s="16"/>
      <c r="Z48" s="16"/>
      <c r="AA48" s="16"/>
      <c r="AB48" s="16"/>
      <c r="AC48" s="16"/>
      <c r="AD48" s="16"/>
    </row>
    <row r="49" spans="11:30">
      <c r="K49" s="16"/>
      <c r="L49" s="16"/>
      <c r="W49" s="16"/>
      <c r="X49" s="16"/>
      <c r="Y49" s="16"/>
      <c r="Z49" s="16"/>
      <c r="AA49" s="16"/>
      <c r="AB49" s="16"/>
      <c r="AC49" s="16"/>
      <c r="AD49" s="16"/>
    </row>
    <row r="50" spans="11:30">
      <c r="K50" s="16"/>
      <c r="L50" s="16"/>
      <c r="W50" s="16"/>
      <c r="X50" s="16"/>
      <c r="Y50" s="16"/>
      <c r="Z50" s="16"/>
      <c r="AA50" s="16"/>
      <c r="AB50" s="16"/>
      <c r="AC50" s="16"/>
      <c r="AD50" s="16"/>
    </row>
    <row r="51" spans="11:30">
      <c r="K51" s="16"/>
      <c r="L51" s="16"/>
      <c r="W51" s="16"/>
      <c r="X51" s="16"/>
      <c r="Y51" s="16"/>
      <c r="Z51" s="16"/>
      <c r="AA51" s="16"/>
      <c r="AB51" s="16"/>
      <c r="AC51" s="16"/>
      <c r="AD51" s="16"/>
    </row>
    <row r="66" spans="2:2">
      <c r="B66" s="17"/>
    </row>
  </sheetData>
  <mergeCells count="35">
    <mergeCell ref="U32:V32"/>
    <mergeCell ref="O25:Q25"/>
    <mergeCell ref="O9:Q9"/>
    <mergeCell ref="O10:Q10"/>
    <mergeCell ref="O11:Q11"/>
    <mergeCell ref="S11:U11"/>
    <mergeCell ref="O16:Q16"/>
    <mergeCell ref="O17:Q17"/>
    <mergeCell ref="O18:Q18"/>
    <mergeCell ref="S18:U18"/>
    <mergeCell ref="E5:F5"/>
    <mergeCell ref="E6:F6"/>
    <mergeCell ref="D16:F16"/>
    <mergeCell ref="D19:F19"/>
    <mergeCell ref="O22:Q22"/>
    <mergeCell ref="D13:F13"/>
    <mergeCell ref="D14:F14"/>
    <mergeCell ref="D22:F22"/>
    <mergeCell ref="D17:F17"/>
    <mergeCell ref="AB37:AD37"/>
    <mergeCell ref="AB38:AD38"/>
    <mergeCell ref="AB39:AD39"/>
    <mergeCell ref="H29:H30"/>
    <mergeCell ref="D18:F18"/>
    <mergeCell ref="D29:F29"/>
    <mergeCell ref="D30:F30"/>
    <mergeCell ref="D31:F31"/>
    <mergeCell ref="D32:F32"/>
    <mergeCell ref="AB34:AD34"/>
    <mergeCell ref="AB36:AD36"/>
    <mergeCell ref="D27:F27"/>
    <mergeCell ref="D23:F23"/>
    <mergeCell ref="D24:F24"/>
    <mergeCell ref="O23:Q23"/>
    <mergeCell ref="O24:Q24"/>
  </mergeCells>
  <conditionalFormatting sqref="S18 U15 S11 U8">
    <cfRule type="cellIs" dxfId="3" priority="10" operator="equal">
      <formula>"no"</formula>
    </cfRule>
    <cfRule type="cellIs" dxfId="2" priority="11" operator="equal">
      <formula>"""no"""</formula>
    </cfRule>
  </conditionalFormatting>
  <conditionalFormatting sqref="S18:U18 S11:U11">
    <cfRule type="cellIs" dxfId="1" priority="5" operator="equal">
      <formula>"necessaria armatura a taglio"</formula>
    </cfRule>
  </conditionalFormatting>
  <conditionalFormatting sqref="U32">
    <cfRule type="cellIs" dxfId="0" priority="1" operator="equal">
      <formula>"AUMENTARE LO SPESSORE"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O30"/>
  <sheetViews>
    <sheetView workbookViewId="0">
      <selection activeCell="J18" sqref="J18"/>
    </sheetView>
  </sheetViews>
  <sheetFormatPr defaultRowHeight="15"/>
  <cols>
    <col min="3" max="3" width="24.85546875" customWidth="1"/>
  </cols>
  <sheetData>
    <row r="2" spans="2:15" ht="15.75" thickBot="1"/>
    <row r="3" spans="2:15">
      <c r="B3">
        <v>1</v>
      </c>
      <c r="C3" s="1">
        <v>16</v>
      </c>
      <c r="D3">
        <v>1.47</v>
      </c>
      <c r="E3">
        <v>2</v>
      </c>
      <c r="K3" s="5"/>
      <c r="L3" s="6" t="s">
        <v>59</v>
      </c>
      <c r="M3" s="7"/>
      <c r="N3" s="7"/>
    </row>
    <row r="4" spans="2:15">
      <c r="B4">
        <v>2</v>
      </c>
      <c r="C4" s="1">
        <v>18</v>
      </c>
      <c r="D4">
        <v>1.62</v>
      </c>
      <c r="K4" s="8">
        <v>1</v>
      </c>
      <c r="L4" s="9" t="s">
        <v>60</v>
      </c>
      <c r="M4" s="10">
        <v>15</v>
      </c>
      <c r="N4" s="10">
        <v>12</v>
      </c>
      <c r="O4">
        <v>4</v>
      </c>
    </row>
    <row r="5" spans="2:15">
      <c r="B5">
        <v>3</v>
      </c>
      <c r="C5" s="1">
        <v>20</v>
      </c>
      <c r="D5">
        <v>1.77</v>
      </c>
      <c r="K5" s="8">
        <v>2</v>
      </c>
      <c r="L5" s="11" t="s">
        <v>61</v>
      </c>
      <c r="M5" s="10">
        <v>20</v>
      </c>
      <c r="N5" s="10">
        <v>16</v>
      </c>
    </row>
    <row r="6" spans="2:15">
      <c r="K6" s="8">
        <v>3</v>
      </c>
      <c r="L6" s="11" t="s">
        <v>62</v>
      </c>
      <c r="M6" s="10">
        <v>25</v>
      </c>
      <c r="N6" s="10">
        <v>20</v>
      </c>
    </row>
    <row r="7" spans="2:15">
      <c r="K7" s="8">
        <v>4</v>
      </c>
      <c r="L7" s="11" t="s">
        <v>63</v>
      </c>
      <c r="M7" s="10">
        <v>30</v>
      </c>
      <c r="N7" s="10">
        <v>25</v>
      </c>
    </row>
    <row r="8" spans="2:15">
      <c r="K8" s="8">
        <v>5</v>
      </c>
      <c r="L8" s="11" t="s">
        <v>64</v>
      </c>
      <c r="M8" s="10">
        <v>35</v>
      </c>
      <c r="N8" s="10">
        <v>28</v>
      </c>
    </row>
    <row r="9" spans="2:15">
      <c r="C9" s="3" t="s">
        <v>39</v>
      </c>
      <c r="D9" s="2" t="s">
        <v>40</v>
      </c>
      <c r="E9" s="1" t="s">
        <v>41</v>
      </c>
      <c r="F9" s="1" t="s">
        <v>42</v>
      </c>
      <c r="G9" s="1" t="s">
        <v>113</v>
      </c>
      <c r="K9" s="8">
        <v>6</v>
      </c>
      <c r="L9" s="11" t="s">
        <v>65</v>
      </c>
      <c r="M9" s="10">
        <v>37</v>
      </c>
      <c r="N9" s="10">
        <v>30</v>
      </c>
    </row>
    <row r="10" spans="2:15">
      <c r="B10">
        <v>1</v>
      </c>
      <c r="C10" s="2" t="s">
        <v>43</v>
      </c>
      <c r="D10" s="1">
        <v>5</v>
      </c>
      <c r="E10" s="1">
        <v>100</v>
      </c>
      <c r="F10" s="1">
        <v>100</v>
      </c>
      <c r="G10" s="14">
        <f>D10^2/4*3.14*7850/10^6*(1000/E10+1000/F10)</f>
        <v>3.0811250000000001</v>
      </c>
      <c r="H10">
        <v>9</v>
      </c>
      <c r="K10" s="8">
        <v>7</v>
      </c>
      <c r="L10" s="11" t="s">
        <v>66</v>
      </c>
      <c r="M10" s="10">
        <v>40</v>
      </c>
      <c r="N10" s="10">
        <v>32</v>
      </c>
    </row>
    <row r="11" spans="2:15">
      <c r="B11">
        <v>2</v>
      </c>
      <c r="C11" s="2" t="s">
        <v>44</v>
      </c>
      <c r="D11" s="1">
        <v>5</v>
      </c>
      <c r="E11" s="1">
        <v>150</v>
      </c>
      <c r="F11" s="1">
        <v>150</v>
      </c>
      <c r="G11" s="14">
        <f t="shared" ref="G11:G18" si="0">D11^2/4*3.14*7850/10^6*(1000/E11+1000/F11)</f>
        <v>2.0540833333333337</v>
      </c>
      <c r="K11" s="8">
        <v>8</v>
      </c>
      <c r="L11" s="11" t="s">
        <v>67</v>
      </c>
      <c r="M11" s="10">
        <v>45</v>
      </c>
      <c r="N11" s="10">
        <v>35</v>
      </c>
    </row>
    <row r="12" spans="2:15">
      <c r="B12">
        <v>3</v>
      </c>
      <c r="C12" s="2" t="s">
        <v>45</v>
      </c>
      <c r="D12" s="1">
        <v>5</v>
      </c>
      <c r="E12" s="1">
        <v>200</v>
      </c>
      <c r="F12" s="1">
        <v>200</v>
      </c>
      <c r="G12" s="14">
        <f t="shared" si="0"/>
        <v>1.5405625000000001</v>
      </c>
      <c r="K12" s="8">
        <v>9</v>
      </c>
      <c r="L12" s="11" t="s">
        <v>68</v>
      </c>
      <c r="M12" s="12">
        <v>50</v>
      </c>
      <c r="N12" s="12">
        <v>40</v>
      </c>
    </row>
    <row r="13" spans="2:15">
      <c r="B13">
        <v>4</v>
      </c>
      <c r="C13" s="2" t="s">
        <v>46</v>
      </c>
      <c r="D13" s="1">
        <v>6</v>
      </c>
      <c r="E13" s="1">
        <v>100</v>
      </c>
      <c r="F13" s="1">
        <v>100</v>
      </c>
      <c r="G13" s="14">
        <f t="shared" si="0"/>
        <v>4.43682</v>
      </c>
      <c r="K13" s="8">
        <v>10</v>
      </c>
      <c r="L13" s="11" t="s">
        <v>69</v>
      </c>
      <c r="M13" s="10">
        <v>55</v>
      </c>
      <c r="N13" s="10">
        <v>45</v>
      </c>
    </row>
    <row r="14" spans="2:15">
      <c r="B14">
        <v>5</v>
      </c>
      <c r="C14" s="2" t="s">
        <v>47</v>
      </c>
      <c r="D14" s="1">
        <v>6</v>
      </c>
      <c r="E14" s="1">
        <v>150</v>
      </c>
      <c r="F14" s="1">
        <v>150</v>
      </c>
      <c r="G14" s="14">
        <f t="shared" si="0"/>
        <v>2.9578800000000003</v>
      </c>
      <c r="K14" s="8">
        <v>11</v>
      </c>
      <c r="L14" s="11" t="s">
        <v>70</v>
      </c>
      <c r="M14" s="10">
        <v>60</v>
      </c>
      <c r="N14" s="10">
        <v>50</v>
      </c>
    </row>
    <row r="15" spans="2:15">
      <c r="B15">
        <v>6</v>
      </c>
      <c r="C15" s="2" t="s">
        <v>48</v>
      </c>
      <c r="D15" s="1">
        <v>6</v>
      </c>
      <c r="E15" s="1">
        <v>200</v>
      </c>
      <c r="F15" s="1">
        <v>200</v>
      </c>
      <c r="G15" s="14">
        <f t="shared" si="0"/>
        <v>2.21841</v>
      </c>
      <c r="K15" s="8">
        <v>12</v>
      </c>
      <c r="L15" s="11" t="s">
        <v>71</v>
      </c>
      <c r="M15" s="13">
        <v>75</v>
      </c>
      <c r="N15" s="10">
        <v>60</v>
      </c>
    </row>
    <row r="16" spans="2:15">
      <c r="B16">
        <v>7</v>
      </c>
      <c r="C16" s="2" t="s">
        <v>49</v>
      </c>
      <c r="D16" s="1">
        <v>8</v>
      </c>
      <c r="E16" s="1">
        <v>100</v>
      </c>
      <c r="F16" s="1">
        <v>100</v>
      </c>
      <c r="G16" s="14">
        <f t="shared" si="0"/>
        <v>7.8876800000000005</v>
      </c>
    </row>
    <row r="17" spans="2:7">
      <c r="B17">
        <v>8</v>
      </c>
      <c r="C17" s="2" t="s">
        <v>50</v>
      </c>
      <c r="D17" s="1">
        <v>8</v>
      </c>
      <c r="E17" s="1">
        <v>150</v>
      </c>
      <c r="F17" s="1">
        <v>150</v>
      </c>
      <c r="G17" s="14">
        <f t="shared" si="0"/>
        <v>5.2584533333333336</v>
      </c>
    </row>
    <row r="18" spans="2:7">
      <c r="B18">
        <v>9</v>
      </c>
      <c r="C18" s="2" t="s">
        <v>51</v>
      </c>
      <c r="D18" s="1">
        <v>8</v>
      </c>
      <c r="E18" s="1">
        <v>200</v>
      </c>
      <c r="F18" s="1">
        <v>200</v>
      </c>
      <c r="G18" s="14">
        <f t="shared" si="0"/>
        <v>3.9438400000000002</v>
      </c>
    </row>
    <row r="21" spans="2:7">
      <c r="B21">
        <v>1</v>
      </c>
      <c r="C21" s="1">
        <v>5</v>
      </c>
      <c r="D21" s="4">
        <f>C21^2/4*3.14</f>
        <v>19.625</v>
      </c>
      <c r="E21">
        <v>3</v>
      </c>
      <c r="F21">
        <v>5</v>
      </c>
    </row>
    <row r="22" spans="2:7">
      <c r="B22">
        <v>2</v>
      </c>
      <c r="C22" s="1">
        <v>6</v>
      </c>
      <c r="D22" s="4">
        <f t="shared" ref="D22:D30" si="1">C22^2/4*3.14</f>
        <v>28.26</v>
      </c>
      <c r="E22">
        <v>3</v>
      </c>
      <c r="F22">
        <v>5</v>
      </c>
    </row>
    <row r="23" spans="2:7">
      <c r="B23">
        <v>3</v>
      </c>
      <c r="C23" s="1">
        <v>8</v>
      </c>
      <c r="D23" s="4">
        <f t="shared" si="1"/>
        <v>50.24</v>
      </c>
    </row>
    <row r="24" spans="2:7">
      <c r="B24">
        <v>4</v>
      </c>
      <c r="C24" s="1">
        <v>10</v>
      </c>
      <c r="D24" s="4">
        <f t="shared" si="1"/>
        <v>78.5</v>
      </c>
    </row>
    <row r="25" spans="2:7">
      <c r="B25">
        <v>5</v>
      </c>
      <c r="C25" s="1">
        <v>12</v>
      </c>
      <c r="D25" s="4">
        <f t="shared" si="1"/>
        <v>113.04</v>
      </c>
    </row>
    <row r="26" spans="2:7">
      <c r="B26">
        <v>6</v>
      </c>
      <c r="C26" s="1">
        <v>14</v>
      </c>
      <c r="D26" s="4">
        <f t="shared" si="1"/>
        <v>153.86000000000001</v>
      </c>
    </row>
    <row r="27" spans="2:7">
      <c r="B27">
        <v>7</v>
      </c>
      <c r="C27" s="1">
        <v>16</v>
      </c>
      <c r="D27" s="4">
        <f t="shared" si="1"/>
        <v>200.96</v>
      </c>
    </row>
    <row r="28" spans="2:7">
      <c r="B28">
        <v>8</v>
      </c>
      <c r="C28" s="1">
        <v>18</v>
      </c>
      <c r="D28" s="4">
        <f t="shared" si="1"/>
        <v>254.34</v>
      </c>
    </row>
    <row r="29" spans="2:7">
      <c r="B29">
        <v>9</v>
      </c>
      <c r="C29" s="1">
        <v>20</v>
      </c>
      <c r="D29" s="4">
        <f t="shared" si="1"/>
        <v>314</v>
      </c>
    </row>
    <row r="30" spans="2:7">
      <c r="B30">
        <v>10</v>
      </c>
      <c r="C30" s="1">
        <v>24</v>
      </c>
      <c r="D30" s="4">
        <f t="shared" si="1"/>
        <v>452.16</v>
      </c>
    </row>
  </sheetData>
  <dataConsolidate function="average">
    <dataRefs count="1">
      <dataRef ref="H21" sheet="Tabelle"/>
    </dataRefs>
  </dataConsolid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3:H21"/>
  <sheetViews>
    <sheetView topLeftCell="B4" workbookViewId="0">
      <selection activeCell="G19" sqref="G19"/>
    </sheetView>
  </sheetViews>
  <sheetFormatPr defaultRowHeight="15"/>
  <sheetData>
    <row r="3" spans="3:8">
      <c r="C3" s="2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</row>
    <row r="4" spans="3:8">
      <c r="C4" s="1">
        <v>1</v>
      </c>
      <c r="D4" s="1">
        <v>4.5699999999999998E-2</v>
      </c>
      <c r="E4" s="1">
        <v>4.5999999999999999E-2</v>
      </c>
      <c r="F4" s="1">
        <v>4.5999999999999999E-2</v>
      </c>
      <c r="G4" s="1">
        <v>0.33800000000000002</v>
      </c>
      <c r="H4" s="1">
        <v>0.33800000000000002</v>
      </c>
    </row>
    <row r="5" spans="3:8">
      <c r="C5" s="1">
        <v>1.1000000000000001</v>
      </c>
      <c r="D5" s="1">
        <v>3.73E-2</v>
      </c>
      <c r="E5" s="1">
        <v>3.8899999999999997E-2</v>
      </c>
      <c r="F5" s="1">
        <v>5.3499999999999999E-2</v>
      </c>
      <c r="G5" s="1">
        <v>0.314</v>
      </c>
      <c r="H5" s="1">
        <v>0.36</v>
      </c>
    </row>
    <row r="6" spans="3:8">
      <c r="C6" s="1">
        <v>1.2</v>
      </c>
      <c r="D6" s="1">
        <v>3.0599999999999999E-2</v>
      </c>
      <c r="E6" s="1">
        <v>3.3000000000000002E-2</v>
      </c>
      <c r="F6" s="1">
        <v>6.0900000000000003E-2</v>
      </c>
      <c r="G6" s="1">
        <v>0.29299999999999998</v>
      </c>
      <c r="H6" s="1">
        <v>0.379</v>
      </c>
    </row>
    <row r="7" spans="3:8">
      <c r="C7" s="1">
        <v>1.3</v>
      </c>
      <c r="D7" s="1">
        <v>2.5100000000000001E-2</v>
      </c>
      <c r="E7" s="1">
        <v>2.81E-2</v>
      </c>
      <c r="F7" s="1">
        <v>6.7699999999999996E-2</v>
      </c>
      <c r="G7" s="1">
        <v>0.27400000000000002</v>
      </c>
      <c r="H7" s="1">
        <v>0.39600000000000002</v>
      </c>
    </row>
    <row r="8" spans="3:8">
      <c r="C8" s="1">
        <v>1.4</v>
      </c>
      <c r="D8" s="1">
        <v>2.06E-2</v>
      </c>
      <c r="E8" s="1">
        <v>2.4E-2</v>
      </c>
      <c r="F8" s="1">
        <v>7.3899999999999993E-2</v>
      </c>
      <c r="G8" s="1">
        <v>0.25700000000000001</v>
      </c>
      <c r="H8" s="1">
        <v>0.41099999999999998</v>
      </c>
    </row>
    <row r="9" spans="3:8">
      <c r="C9" s="1">
        <v>1.5</v>
      </c>
      <c r="D9" s="1">
        <v>1.7100000000000001E-2</v>
      </c>
      <c r="E9" s="1">
        <v>2.0500000000000001E-2</v>
      </c>
      <c r="F9" s="1">
        <v>7.9600000000000004E-2</v>
      </c>
      <c r="G9" s="1">
        <v>0.24199999999999999</v>
      </c>
      <c r="H9" s="1">
        <v>0.42399999999999999</v>
      </c>
    </row>
    <row r="10" spans="3:8">
      <c r="C10" s="1">
        <v>1.6</v>
      </c>
      <c r="D10" s="1">
        <v>1.4200000000000001E-2</v>
      </c>
      <c r="E10" s="1">
        <v>1.77E-2</v>
      </c>
      <c r="F10" s="1">
        <v>8.48E-2</v>
      </c>
      <c r="G10" s="1">
        <v>0.22800000000000001</v>
      </c>
      <c r="H10" s="1">
        <v>0.435</v>
      </c>
    </row>
    <row r="11" spans="3:8">
      <c r="C11" s="1">
        <v>1.7</v>
      </c>
      <c r="D11" s="1">
        <v>1.1900000000000001E-2</v>
      </c>
      <c r="E11" s="1">
        <v>1.54E-2</v>
      </c>
      <c r="F11" s="1">
        <v>8.9499999999999996E-2</v>
      </c>
      <c r="G11" s="1">
        <v>0.215</v>
      </c>
      <c r="H11" s="1">
        <v>0.44400000000000001</v>
      </c>
    </row>
    <row r="12" spans="3:8">
      <c r="C12" s="1">
        <v>1.8</v>
      </c>
      <c r="D12" s="1">
        <v>0.01</v>
      </c>
      <c r="E12" s="1">
        <v>1.34E-2</v>
      </c>
      <c r="F12" s="1">
        <v>9.3700000000000006E-2</v>
      </c>
      <c r="G12" s="1">
        <v>0.20399999999999999</v>
      </c>
      <c r="H12" s="1">
        <v>0.45200000000000001</v>
      </c>
    </row>
    <row r="13" spans="3:8">
      <c r="C13" s="1">
        <v>1.9</v>
      </c>
      <c r="D13" s="1">
        <v>8.3999999999999995E-3</v>
      </c>
      <c r="E13" s="1">
        <v>1.18E-2</v>
      </c>
      <c r="F13" s="1">
        <v>9.7500000000000003E-2</v>
      </c>
      <c r="G13" s="1">
        <v>0.19400000000000001</v>
      </c>
      <c r="H13" s="1">
        <v>0.45900000000000002</v>
      </c>
    </row>
    <row r="14" spans="3:8">
      <c r="C14" s="1">
        <v>2</v>
      </c>
      <c r="D14" s="1">
        <v>7.1000000000000004E-3</v>
      </c>
      <c r="E14" s="1">
        <v>1.04E-2</v>
      </c>
      <c r="F14" s="1">
        <v>0.1008</v>
      </c>
      <c r="G14" s="1">
        <v>0.185</v>
      </c>
      <c r="H14" s="1">
        <v>0.46500000000000002</v>
      </c>
    </row>
    <row r="17" spans="3:4">
      <c r="C17" s="2" t="s">
        <v>12</v>
      </c>
      <c r="D17" s="1">
        <f>a/b</f>
        <v>1.2</v>
      </c>
    </row>
    <row r="18" spans="3:4">
      <c r="C18" s="2" t="s">
        <v>18</v>
      </c>
      <c r="D18" s="1">
        <f>-0.018*D17^3+0.112*D17^2-0.245*D17+0.197</f>
        <v>3.3176000000000039E-2</v>
      </c>
    </row>
    <row r="19" spans="3:4">
      <c r="C19" s="2" t="s">
        <v>19</v>
      </c>
      <c r="D19" s="1">
        <f>-0.028*D17^2+0.135*D17-0.061</f>
        <v>6.0680000000000012E-2</v>
      </c>
    </row>
    <row r="20" spans="3:4">
      <c r="C20" s="2" t="s">
        <v>20</v>
      </c>
      <c r="D20" s="1">
        <f>-0.028*D17^3+0.209*D17^2-0.577*D17+0.735</f>
        <v>0.29517600000000005</v>
      </c>
    </row>
    <row r="21" spans="3:4">
      <c r="C21" s="2" t="s">
        <v>21</v>
      </c>
      <c r="D21" s="1">
        <f>0.033*D17^3-0.237*D17^2+0.609*D17-0.066</f>
        <v>0.38054400000000005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Calcolo</vt:lpstr>
      <vt:lpstr>Tabelle</vt:lpstr>
      <vt:lpstr>Foglio3</vt:lpstr>
      <vt:lpstr>a</vt:lpstr>
      <vt:lpstr>b</vt:lpstr>
      <vt:lpstr>hc</vt:lpstr>
      <vt:lpstr>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utenti</dc:creator>
  <cp:lastModifiedBy>utenti</cp:lastModifiedBy>
  <dcterms:created xsi:type="dcterms:W3CDTF">2020-01-20T13:25:12Z</dcterms:created>
  <dcterms:modified xsi:type="dcterms:W3CDTF">2020-01-30T17:18:21Z</dcterms:modified>
</cp:coreProperties>
</file>